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apelo\Documents\Aulas\Estaçoes elevatórias - Aula 1\"/>
    </mc:Choice>
  </mc:AlternateContent>
  <xr:revisionPtr revIDLastSave="0" documentId="13_ncr:1_{F6FE1764-B2A9-4701-B632-84D2F6E812E1}" xr6:coauthVersionLast="47" xr6:coauthVersionMax="47" xr10:uidLastSave="{00000000-0000-0000-0000-000000000000}"/>
  <bookViews>
    <workbookView xWindow="-108" yWindow="-108" windowWidth="23256" windowHeight="12456" tabRatio="717" xr2:uid="{00000000-000D-0000-FFFF-FFFF00000000}"/>
  </bookViews>
  <sheets>
    <sheet name="Dim_Hidráulico_Alt_1" sheetId="2" r:id="rId1"/>
    <sheet name="Dim_Hidráulico_Alt 2" sheetId="10" r:id="rId2"/>
    <sheet name="Tabela_Tubagem" sheetId="9" r:id="rId3"/>
  </sheets>
  <definedNames>
    <definedName name="_xlnm._FilterDatabase" localSheetId="1" hidden="1">'Dim_Hidráulico_Alt 2'!$F$22:$F$41</definedName>
    <definedName name="_xlnm._FilterDatabase" localSheetId="0" hidden="1">Dim_Hidráulico_Alt_1!$F$22:$F$41</definedName>
    <definedName name="_xlnm.Print_Area" localSheetId="1">'Dim_Hidráulico_Alt 2'!$A$5:$AA$19</definedName>
    <definedName name="_xlnm.Print_Area" localSheetId="0">Dim_Hidráulico_Alt_1!$A$5:$AA$19</definedName>
    <definedName name="_xlnm.Print_Area" localSheetId="2">Tabela_Tubagem!$A$2:$R$48</definedName>
    <definedName name="DN">Tabela_Tubagem!$T$9:$T$41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G18" i="2"/>
  <c r="M18" i="2" s="1"/>
  <c r="G17" i="2"/>
  <c r="M17" i="2" s="1"/>
  <c r="G16" i="2"/>
  <c r="M16" i="2" s="1"/>
  <c r="G18" i="10"/>
  <c r="M18" i="10" s="1"/>
  <c r="G17" i="10"/>
  <c r="M17" i="10" s="1"/>
  <c r="G16" i="10"/>
  <c r="M16" i="10" s="1"/>
  <c r="R18" i="10"/>
  <c r="H18" i="10"/>
  <c r="I18" i="10" s="1"/>
  <c r="C18" i="10"/>
  <c r="R17" i="10"/>
  <c r="H17" i="10"/>
  <c r="I17" i="10" s="1"/>
  <c r="C17" i="10"/>
  <c r="B17" i="10"/>
  <c r="B18" i="10" s="1"/>
  <c r="H16" i="10"/>
  <c r="I16" i="10" s="1"/>
  <c r="U12" i="10"/>
  <c r="Z8" i="10"/>
  <c r="Z16" i="10" l="1"/>
  <c r="Z18" i="10"/>
  <c r="AA18" i="10" s="1"/>
  <c r="Z17" i="10"/>
  <c r="AA17" i="10" s="1"/>
  <c r="Z19" i="10" l="1"/>
  <c r="AA16" i="10"/>
  <c r="AA19" i="10" s="1"/>
  <c r="Z8" i="2" l="1"/>
  <c r="R17" i="2"/>
  <c r="R18" i="2" l="1"/>
  <c r="X78" i="9" l="1"/>
  <c r="X79" i="9" s="1"/>
  <c r="X80" i="9" s="1"/>
  <c r="X81" i="9" s="1"/>
  <c r="X82" i="9" s="1"/>
  <c r="W78" i="9"/>
  <c r="W79" i="9" s="1"/>
  <c r="W80" i="9" s="1"/>
  <c r="W81" i="9" s="1"/>
  <c r="W82" i="9" s="1"/>
  <c r="V78" i="9"/>
  <c r="U78" i="9" s="1"/>
  <c r="Y77" i="9"/>
  <c r="Z77" i="9" s="1"/>
  <c r="Z78" i="9" s="1"/>
  <c r="Z79" i="9" s="1"/>
  <c r="Z80" i="9" s="1"/>
  <c r="W76" i="9"/>
  <c r="X76" i="9" s="1"/>
  <c r="Y76" i="9" s="1"/>
  <c r="Z76" i="9" s="1"/>
  <c r="Y75" i="9"/>
  <c r="Z75" i="9" s="1"/>
  <c r="Y74" i="9"/>
  <c r="Z74" i="9" s="1"/>
  <c r="Y73" i="9"/>
  <c r="Z73" i="9" s="1"/>
  <c r="Y72" i="9"/>
  <c r="Z72" i="9" s="1"/>
  <c r="Y71" i="9"/>
  <c r="Z71" i="9" s="1"/>
  <c r="Y70" i="9"/>
  <c r="Z70" i="9" s="1"/>
  <c r="W69" i="9"/>
  <c r="X69" i="9" s="1"/>
  <c r="Y69" i="9" s="1"/>
  <c r="Z69" i="9" s="1"/>
  <c r="U77" i="9"/>
  <c r="U76" i="9"/>
  <c r="U75" i="9"/>
  <c r="U74" i="9"/>
  <c r="U73" i="9"/>
  <c r="U72" i="9"/>
  <c r="U71" i="9"/>
  <c r="U70" i="9"/>
  <c r="U69" i="9"/>
  <c r="Z60" i="9"/>
  <c r="AA60" i="9" s="1"/>
  <c r="AB60" i="9" s="1"/>
  <c r="Z59" i="9"/>
  <c r="AA59" i="9" s="1"/>
  <c r="AB59" i="9" s="1"/>
  <c r="Z58" i="9"/>
  <c r="AA58" i="9" s="1"/>
  <c r="AB58" i="9" s="1"/>
  <c r="Z57" i="9"/>
  <c r="AA57" i="9" s="1"/>
  <c r="AB57" i="9" s="1"/>
  <c r="Z56" i="9"/>
  <c r="AA56" i="9" s="1"/>
  <c r="AB56" i="9" s="1"/>
  <c r="Z67" i="9"/>
  <c r="Y66" i="9"/>
  <c r="Z66" i="9" s="1"/>
  <c r="AA66" i="9" s="1"/>
  <c r="Y65" i="9"/>
  <c r="Z65" i="9" s="1"/>
  <c r="AA65" i="9" s="1"/>
  <c r="Y64" i="9"/>
  <c r="Z64" i="9" s="1"/>
  <c r="AA64" i="9" s="1"/>
  <c r="Y63" i="9"/>
  <c r="Z63" i="9" s="1"/>
  <c r="AA63" i="9" s="1"/>
  <c r="Y62" i="9"/>
  <c r="Z62" i="9" s="1"/>
  <c r="AA62" i="9" s="1"/>
  <c r="Y61" i="9"/>
  <c r="Z61" i="9" s="1"/>
  <c r="AA61" i="9" s="1"/>
  <c r="Y68" i="9"/>
  <c r="Z68" i="9" s="1"/>
  <c r="Z55" i="9"/>
  <c r="AA55" i="9" s="1"/>
  <c r="AB55" i="9" s="1"/>
  <c r="Z54" i="9"/>
  <c r="AA54" i="9" s="1"/>
  <c r="AB54" i="9" s="1"/>
  <c r="Z53" i="9"/>
  <c r="AA53" i="9" s="1"/>
  <c r="AB53" i="9" s="1"/>
  <c r="X50" i="9"/>
  <c r="Y50" i="9" s="1"/>
  <c r="Z50" i="9" s="1"/>
  <c r="AA50" i="9" s="1"/>
  <c r="AB50" i="9" s="1"/>
  <c r="X51" i="9"/>
  <c r="Y51" i="9" s="1"/>
  <c r="Z51" i="9" s="1"/>
  <c r="AA51" i="9" s="1"/>
  <c r="AB51" i="9" s="1"/>
  <c r="X52" i="9"/>
  <c r="Y52" i="9" s="1"/>
  <c r="Z52" i="9" s="1"/>
  <c r="AA52" i="9" s="1"/>
  <c r="AB52" i="9" s="1"/>
  <c r="Y78" i="9" l="1"/>
  <c r="Y79" i="9" s="1"/>
  <c r="Y80" i="9" s="1"/>
  <c r="Y81" i="9" s="1"/>
  <c r="Y82" i="9" s="1"/>
  <c r="V79" i="9"/>
  <c r="U79" i="9" s="1"/>
  <c r="AA80" i="9"/>
  <c r="Z81" i="9"/>
  <c r="V80" i="9"/>
  <c r="C18" i="2"/>
  <c r="C17" i="2"/>
  <c r="B17" i="2"/>
  <c r="B18" i="2" s="1"/>
  <c r="H18" i="2"/>
  <c r="I18" i="2" s="1"/>
  <c r="H17" i="2"/>
  <c r="I17" i="2" s="1"/>
  <c r="Z17" i="2" s="1"/>
  <c r="AA17" i="2" s="1"/>
  <c r="V81" i="9" l="1"/>
  <c r="U80" i="9"/>
  <c r="Z82" i="9"/>
  <c r="AA82" i="9" s="1"/>
  <c r="AA81" i="9"/>
  <c r="Z18" i="2"/>
  <c r="AA18" i="2" s="1"/>
  <c r="H16" i="2"/>
  <c r="V82" i="9" l="1"/>
  <c r="U82" i="9" s="1"/>
  <c r="U81" i="9"/>
  <c r="Z16" i="2"/>
  <c r="Z19" i="2" s="1"/>
  <c r="AA16" i="2" l="1"/>
  <c r="AA19" i="2" l="1"/>
  <c r="T17" i="9"/>
  <c r="T18" i="9"/>
  <c r="T19" i="9"/>
  <c r="T20" i="9"/>
  <c r="T21" i="9"/>
  <c r="T22" i="9"/>
  <c r="T23" i="9"/>
  <c r="T24" i="9"/>
  <c r="T25" i="9"/>
  <c r="T26" i="9"/>
  <c r="T27" i="9"/>
  <c r="T9" i="9"/>
  <c r="U9" i="9"/>
  <c r="T10" i="9"/>
  <c r="U10" i="9"/>
  <c r="T11" i="9"/>
  <c r="T12" i="9"/>
  <c r="T13" i="9"/>
  <c r="T14" i="9"/>
  <c r="T15" i="9"/>
  <c r="R27" i="9"/>
  <c r="AB27" i="9" s="1"/>
  <c r="P27" i="9"/>
  <c r="AA27" i="9" s="1"/>
  <c r="N27" i="9"/>
  <c r="Z27" i="9" s="1"/>
  <c r="L27" i="9"/>
  <c r="Y27" i="9" s="1"/>
  <c r="J27" i="9"/>
  <c r="X27" i="9" s="1"/>
  <c r="H27" i="9"/>
  <c r="W27" i="9" s="1"/>
  <c r="F27" i="9"/>
  <c r="V27" i="9" s="1"/>
  <c r="D27" i="9"/>
  <c r="U27" i="9" s="1"/>
  <c r="R26" i="9"/>
  <c r="AB26" i="9" s="1"/>
  <c r="P26" i="9"/>
  <c r="AA26" i="9" s="1"/>
  <c r="N26" i="9"/>
  <c r="Z26" i="9" s="1"/>
  <c r="L26" i="9"/>
  <c r="Y26" i="9" s="1"/>
  <c r="J26" i="9"/>
  <c r="X26" i="9" s="1"/>
  <c r="H26" i="9"/>
  <c r="W26" i="9" s="1"/>
  <c r="F26" i="9"/>
  <c r="V26" i="9" s="1"/>
  <c r="D26" i="9"/>
  <c r="U26" i="9" s="1"/>
  <c r="R25" i="9"/>
  <c r="AB25" i="9" s="1"/>
  <c r="P25" i="9"/>
  <c r="AA25" i="9" s="1"/>
  <c r="N25" i="9"/>
  <c r="Z25" i="9" s="1"/>
  <c r="L25" i="9"/>
  <c r="Y25" i="9" s="1"/>
  <c r="J25" i="9"/>
  <c r="X25" i="9" s="1"/>
  <c r="H25" i="9"/>
  <c r="W25" i="9" s="1"/>
  <c r="F25" i="9"/>
  <c r="V25" i="9" s="1"/>
  <c r="D25" i="9"/>
  <c r="U25" i="9" s="1"/>
  <c r="R24" i="9"/>
  <c r="AB24" i="9" s="1"/>
  <c r="P24" i="9"/>
  <c r="AA24" i="9" s="1"/>
  <c r="N24" i="9"/>
  <c r="Z24" i="9" s="1"/>
  <c r="L24" i="9"/>
  <c r="Y24" i="9" s="1"/>
  <c r="J24" i="9"/>
  <c r="X24" i="9" s="1"/>
  <c r="H24" i="9"/>
  <c r="W24" i="9" s="1"/>
  <c r="F24" i="9"/>
  <c r="V24" i="9" s="1"/>
  <c r="D24" i="9"/>
  <c r="U24" i="9" s="1"/>
  <c r="R23" i="9"/>
  <c r="AB23" i="9" s="1"/>
  <c r="P23" i="9"/>
  <c r="AA23" i="9" s="1"/>
  <c r="N23" i="9"/>
  <c r="Z23" i="9" s="1"/>
  <c r="L23" i="9"/>
  <c r="Y23" i="9" s="1"/>
  <c r="J23" i="9"/>
  <c r="X23" i="9" s="1"/>
  <c r="H23" i="9"/>
  <c r="W23" i="9" s="1"/>
  <c r="F23" i="9"/>
  <c r="V23" i="9" s="1"/>
  <c r="D23" i="9"/>
  <c r="U23" i="9" s="1"/>
  <c r="R22" i="9"/>
  <c r="AB22" i="9" s="1"/>
  <c r="P22" i="9"/>
  <c r="AA22" i="9" s="1"/>
  <c r="N22" i="9"/>
  <c r="Z22" i="9" s="1"/>
  <c r="L22" i="9"/>
  <c r="Y22" i="9" s="1"/>
  <c r="J22" i="9"/>
  <c r="X22" i="9" s="1"/>
  <c r="H22" i="9"/>
  <c r="W22" i="9" s="1"/>
  <c r="F22" i="9"/>
  <c r="V22" i="9" s="1"/>
  <c r="D22" i="9"/>
  <c r="U22" i="9" s="1"/>
  <c r="R21" i="9"/>
  <c r="AB21" i="9" s="1"/>
  <c r="P21" i="9"/>
  <c r="AA21" i="9" s="1"/>
  <c r="N21" i="9"/>
  <c r="Z21" i="9" s="1"/>
  <c r="L21" i="9"/>
  <c r="Y21" i="9" s="1"/>
  <c r="J21" i="9"/>
  <c r="X21" i="9" s="1"/>
  <c r="H21" i="9"/>
  <c r="W21" i="9" s="1"/>
  <c r="F21" i="9"/>
  <c r="V21" i="9" s="1"/>
  <c r="D21" i="9"/>
  <c r="U21" i="9" s="1"/>
  <c r="R20" i="9"/>
  <c r="AB20" i="9" s="1"/>
  <c r="P20" i="9"/>
  <c r="AA20" i="9" s="1"/>
  <c r="N20" i="9"/>
  <c r="Z20" i="9" s="1"/>
  <c r="L20" i="9"/>
  <c r="Y20" i="9" s="1"/>
  <c r="J20" i="9"/>
  <c r="X20" i="9" s="1"/>
  <c r="H20" i="9"/>
  <c r="W20" i="9" s="1"/>
  <c r="F20" i="9"/>
  <c r="V20" i="9" s="1"/>
  <c r="D20" i="9"/>
  <c r="U20" i="9" s="1"/>
  <c r="R19" i="9"/>
  <c r="AB19" i="9" s="1"/>
  <c r="P19" i="9"/>
  <c r="AA19" i="9" s="1"/>
  <c r="N19" i="9"/>
  <c r="Z19" i="9" s="1"/>
  <c r="L19" i="9"/>
  <c r="Y19" i="9" s="1"/>
  <c r="J19" i="9"/>
  <c r="X19" i="9" s="1"/>
  <c r="H19" i="9"/>
  <c r="W19" i="9" s="1"/>
  <c r="F19" i="9"/>
  <c r="V19" i="9" s="1"/>
  <c r="D19" i="9"/>
  <c r="U19" i="9" s="1"/>
  <c r="R18" i="9"/>
  <c r="AB18" i="9" s="1"/>
  <c r="P18" i="9"/>
  <c r="AA18" i="9" s="1"/>
  <c r="N18" i="9"/>
  <c r="Z18" i="9" s="1"/>
  <c r="L18" i="9"/>
  <c r="Y18" i="9" s="1"/>
  <c r="J18" i="9"/>
  <c r="X18" i="9" s="1"/>
  <c r="H18" i="9"/>
  <c r="W18" i="9" s="1"/>
  <c r="F18" i="9"/>
  <c r="V18" i="9" s="1"/>
  <c r="D18" i="9"/>
  <c r="U18" i="9" s="1"/>
  <c r="R17" i="9"/>
  <c r="AB17" i="9" s="1"/>
  <c r="P17" i="9"/>
  <c r="AA17" i="9" s="1"/>
  <c r="N17" i="9"/>
  <c r="Z17" i="9" s="1"/>
  <c r="L17" i="9"/>
  <c r="Y17" i="9" s="1"/>
  <c r="J17" i="9"/>
  <c r="X17" i="9" s="1"/>
  <c r="H17" i="9"/>
  <c r="W17" i="9" s="1"/>
  <c r="F17" i="9"/>
  <c r="V17" i="9" s="1"/>
  <c r="D17" i="9"/>
  <c r="U17" i="9" s="1"/>
  <c r="R16" i="9"/>
  <c r="P16" i="9"/>
  <c r="N16" i="9"/>
  <c r="L16" i="9"/>
  <c r="J16" i="9"/>
  <c r="H16" i="9"/>
  <c r="F16" i="9"/>
  <c r="V16" i="9" s="1"/>
  <c r="D16" i="9"/>
  <c r="R15" i="9"/>
  <c r="AB15" i="9" s="1"/>
  <c r="P15" i="9"/>
  <c r="AA15" i="9" s="1"/>
  <c r="N15" i="9"/>
  <c r="Z15" i="9" s="1"/>
  <c r="L15" i="9"/>
  <c r="Y15" i="9" s="1"/>
  <c r="J15" i="9"/>
  <c r="X15" i="9" s="1"/>
  <c r="H15" i="9"/>
  <c r="W15" i="9" s="1"/>
  <c r="F15" i="9"/>
  <c r="V15" i="9" s="1"/>
  <c r="D15" i="9"/>
  <c r="U15" i="9" s="1"/>
  <c r="R14" i="9"/>
  <c r="AB14" i="9" s="1"/>
  <c r="P14" i="9"/>
  <c r="AA14" i="9" s="1"/>
  <c r="N14" i="9"/>
  <c r="Z14" i="9" s="1"/>
  <c r="L14" i="9"/>
  <c r="Y14" i="9" s="1"/>
  <c r="J14" i="9"/>
  <c r="X14" i="9" s="1"/>
  <c r="H14" i="9"/>
  <c r="W14" i="9" s="1"/>
  <c r="F14" i="9"/>
  <c r="V14" i="9" s="1"/>
  <c r="D14" i="9"/>
  <c r="U14" i="9" s="1"/>
  <c r="R13" i="9"/>
  <c r="AB13" i="9" s="1"/>
  <c r="P13" i="9"/>
  <c r="AA13" i="9" s="1"/>
  <c r="N13" i="9"/>
  <c r="Z13" i="9" s="1"/>
  <c r="L13" i="9"/>
  <c r="Y13" i="9" s="1"/>
  <c r="J13" i="9"/>
  <c r="X13" i="9" s="1"/>
  <c r="H13" i="9"/>
  <c r="W13" i="9" s="1"/>
  <c r="F13" i="9"/>
  <c r="V13" i="9" s="1"/>
  <c r="D13" i="9"/>
  <c r="U13" i="9" s="1"/>
  <c r="R12" i="9"/>
  <c r="AB12" i="9" s="1"/>
  <c r="P12" i="9"/>
  <c r="AA12" i="9" s="1"/>
  <c r="N12" i="9"/>
  <c r="Z12" i="9" s="1"/>
  <c r="L12" i="9"/>
  <c r="Y12" i="9" s="1"/>
  <c r="J12" i="9"/>
  <c r="X12" i="9" s="1"/>
  <c r="H12" i="9"/>
  <c r="W12" i="9" s="1"/>
  <c r="F12" i="9"/>
  <c r="V12" i="9" s="1"/>
  <c r="D12" i="9"/>
  <c r="U12" i="9" s="1"/>
  <c r="R11" i="9"/>
  <c r="AB11" i="9" s="1"/>
  <c r="P11" i="9"/>
  <c r="AA11" i="9" s="1"/>
  <c r="N11" i="9"/>
  <c r="Z11" i="9" s="1"/>
  <c r="L11" i="9"/>
  <c r="Y11" i="9" s="1"/>
  <c r="J11" i="9"/>
  <c r="X11" i="9" s="1"/>
  <c r="H11" i="9"/>
  <c r="W11" i="9" s="1"/>
  <c r="F11" i="9"/>
  <c r="V11" i="9" s="1"/>
  <c r="D11" i="9"/>
  <c r="U11" i="9" s="1"/>
  <c r="R10" i="9"/>
  <c r="AB10" i="9" s="1"/>
  <c r="P10" i="9"/>
  <c r="AA10" i="9" s="1"/>
  <c r="N10" i="9"/>
  <c r="Z10" i="9" s="1"/>
  <c r="L10" i="9"/>
  <c r="Y10" i="9" s="1"/>
  <c r="J10" i="9"/>
  <c r="X10" i="9" s="1"/>
  <c r="H10" i="9"/>
  <c r="W10" i="9" s="1"/>
  <c r="F10" i="9"/>
  <c r="V10" i="9" s="1"/>
  <c r="R9" i="9"/>
  <c r="AB9" i="9" s="1"/>
  <c r="P9" i="9"/>
  <c r="AA9" i="9" s="1"/>
  <c r="N9" i="9"/>
  <c r="Z9" i="9" s="1"/>
  <c r="L9" i="9"/>
  <c r="Y9" i="9" s="1"/>
  <c r="J9" i="9"/>
  <c r="X9" i="9" s="1"/>
  <c r="H9" i="9"/>
  <c r="W9" i="9" s="1"/>
  <c r="F9" i="9"/>
  <c r="V9" i="9" s="1"/>
  <c r="T16" i="9"/>
  <c r="U16" i="9"/>
  <c r="W16" i="9"/>
  <c r="U12" i="2" l="1"/>
  <c r="T38" i="9"/>
  <c r="T39" i="9"/>
  <c r="T40" i="9"/>
  <c r="T41" i="9"/>
  <c r="R39" i="9"/>
  <c r="AB39" i="9" s="1"/>
  <c r="P39" i="9"/>
  <c r="AA39" i="9" s="1"/>
  <c r="N39" i="9"/>
  <c r="Z39" i="9" s="1"/>
  <c r="L39" i="9"/>
  <c r="Y39" i="9" s="1"/>
  <c r="J39" i="9"/>
  <c r="X39" i="9" s="1"/>
  <c r="H39" i="9"/>
  <c r="W39" i="9" s="1"/>
  <c r="F39" i="9"/>
  <c r="V39" i="9" s="1"/>
  <c r="D39" i="9"/>
  <c r="U39" i="9" s="1"/>
  <c r="R41" i="9"/>
  <c r="AB41" i="9" s="1"/>
  <c r="P41" i="9"/>
  <c r="AA41" i="9" s="1"/>
  <c r="N41" i="9"/>
  <c r="Z41" i="9" s="1"/>
  <c r="L41" i="9"/>
  <c r="Y41" i="9" s="1"/>
  <c r="J41" i="9"/>
  <c r="X41" i="9" s="1"/>
  <c r="H41" i="9"/>
  <c r="W41" i="9" s="1"/>
  <c r="F41" i="9"/>
  <c r="V41" i="9" s="1"/>
  <c r="D41" i="9"/>
  <c r="U41" i="9" s="1"/>
  <c r="R40" i="9"/>
  <c r="AB40" i="9" s="1"/>
  <c r="P40" i="9"/>
  <c r="AA40" i="9" s="1"/>
  <c r="N40" i="9"/>
  <c r="Z40" i="9" s="1"/>
  <c r="L40" i="9"/>
  <c r="Y40" i="9" s="1"/>
  <c r="J40" i="9"/>
  <c r="X40" i="9" s="1"/>
  <c r="H40" i="9"/>
  <c r="W40" i="9" s="1"/>
  <c r="F40" i="9"/>
  <c r="V40" i="9" s="1"/>
  <c r="D40" i="9"/>
  <c r="U40" i="9" s="1"/>
  <c r="T37" i="9"/>
  <c r="R38" i="9"/>
  <c r="AB38" i="9" s="1"/>
  <c r="P38" i="9"/>
  <c r="AA38" i="9" s="1"/>
  <c r="N38" i="9"/>
  <c r="Z38" i="9" s="1"/>
  <c r="L38" i="9"/>
  <c r="Y38" i="9" s="1"/>
  <c r="J38" i="9"/>
  <c r="X38" i="9" s="1"/>
  <c r="H38" i="9"/>
  <c r="W38" i="9" s="1"/>
  <c r="F38" i="9"/>
  <c r="V38" i="9" s="1"/>
  <c r="D38" i="9"/>
  <c r="U38" i="9" s="1"/>
  <c r="T28" i="9"/>
  <c r="T29" i="9"/>
  <c r="T30" i="9"/>
  <c r="T31" i="9"/>
  <c r="T32" i="9"/>
  <c r="F32" i="9"/>
  <c r="V32" i="9" s="1"/>
  <c r="F31" i="9"/>
  <c r="V31" i="9" s="1"/>
  <c r="F30" i="9"/>
  <c r="V30" i="9" s="1"/>
  <c r="H29" i="9"/>
  <c r="W29" i="9" s="1"/>
  <c r="H28" i="9"/>
  <c r="W28" i="9" s="1"/>
  <c r="F28" i="9"/>
  <c r="V28" i="9" s="1"/>
  <c r="L31" i="9"/>
  <c r="Y31" i="9" s="1"/>
  <c r="L30" i="9"/>
  <c r="Y30" i="9" s="1"/>
  <c r="L29" i="9"/>
  <c r="Y29" i="9" s="1"/>
  <c r="L28" i="9"/>
  <c r="Y28" i="9" s="1"/>
  <c r="J32" i="9"/>
  <c r="X32" i="9" s="1"/>
  <c r="J33" i="9"/>
  <c r="X33" i="9" s="1"/>
  <c r="J34" i="9"/>
  <c r="X34" i="9" s="1"/>
  <c r="J35" i="9"/>
  <c r="X35" i="9" s="1"/>
  <c r="J36" i="9"/>
  <c r="X36" i="9" s="1"/>
  <c r="J37" i="9"/>
  <c r="X37" i="9" s="1"/>
  <c r="R33" i="9"/>
  <c r="AB33" i="9" s="1"/>
  <c r="P33" i="9"/>
  <c r="AA33" i="9" s="1"/>
  <c r="N33" i="9"/>
  <c r="Z33" i="9" s="1"/>
  <c r="L33" i="9"/>
  <c r="Y33" i="9" s="1"/>
  <c r="H33" i="9"/>
  <c r="W33" i="9" s="1"/>
  <c r="F33" i="9"/>
  <c r="V33" i="9" s="1"/>
  <c r="D33" i="9"/>
  <c r="U33" i="9" s="1"/>
  <c r="T33" i="9"/>
  <c r="P36" i="9"/>
  <c r="AA36" i="9" s="1"/>
  <c r="H36" i="9"/>
  <c r="W36" i="9" s="1"/>
  <c r="N35" i="9"/>
  <c r="Z35" i="9" s="1"/>
  <c r="L34" i="9"/>
  <c r="Y34" i="9" s="1"/>
  <c r="D31" i="9"/>
  <c r="U31" i="9" s="1"/>
  <c r="P29" i="9"/>
  <c r="AA29" i="9" s="1"/>
  <c r="N28" i="9"/>
  <c r="Z28" i="9" s="1"/>
  <c r="D37" i="9"/>
  <c r="U37" i="9" s="1"/>
  <c r="D36" i="9"/>
  <c r="U36" i="9" s="1"/>
  <c r="D35" i="9"/>
  <c r="U35" i="9" s="1"/>
  <c r="D34" i="9"/>
  <c r="U34" i="9" s="1"/>
  <c r="D32" i="9"/>
  <c r="U32" i="9" s="1"/>
  <c r="D30" i="9"/>
  <c r="U30" i="9" s="1"/>
  <c r="D29" i="9"/>
  <c r="U29" i="9" s="1"/>
  <c r="D28" i="9"/>
  <c r="U28" i="9" s="1"/>
  <c r="F37" i="9"/>
  <c r="V37" i="9" s="1"/>
  <c r="F36" i="9"/>
  <c r="V36" i="9" s="1"/>
  <c r="F35" i="9"/>
  <c r="V35" i="9" s="1"/>
  <c r="F34" i="9"/>
  <c r="V34" i="9" s="1"/>
  <c r="F29" i="9"/>
  <c r="V29" i="9" s="1"/>
  <c r="H37" i="9"/>
  <c r="W37" i="9" s="1"/>
  <c r="H35" i="9"/>
  <c r="W35" i="9" s="1"/>
  <c r="H34" i="9"/>
  <c r="W34" i="9" s="1"/>
  <c r="H32" i="9"/>
  <c r="W32" i="9" s="1"/>
  <c r="H31" i="9"/>
  <c r="W31" i="9" s="1"/>
  <c r="H30" i="9"/>
  <c r="W30" i="9" s="1"/>
  <c r="J31" i="9"/>
  <c r="X31" i="9" s="1"/>
  <c r="J30" i="9"/>
  <c r="X30" i="9" s="1"/>
  <c r="J29" i="9"/>
  <c r="X29" i="9" s="1"/>
  <c r="J28" i="9"/>
  <c r="X28" i="9" s="1"/>
  <c r="L37" i="9"/>
  <c r="Y37" i="9" s="1"/>
  <c r="L36" i="9"/>
  <c r="Y36" i="9" s="1"/>
  <c r="L35" i="9"/>
  <c r="Y35" i="9" s="1"/>
  <c r="L32" i="9"/>
  <c r="Y32" i="9" s="1"/>
  <c r="N37" i="9"/>
  <c r="Z37" i="9" s="1"/>
  <c r="N36" i="9"/>
  <c r="Z36" i="9" s="1"/>
  <c r="N34" i="9"/>
  <c r="Z34" i="9" s="1"/>
  <c r="N32" i="9"/>
  <c r="Z32" i="9" s="1"/>
  <c r="N31" i="9"/>
  <c r="Z31" i="9" s="1"/>
  <c r="N30" i="9"/>
  <c r="Z30" i="9" s="1"/>
  <c r="N29" i="9"/>
  <c r="Z29" i="9" s="1"/>
  <c r="P37" i="9"/>
  <c r="AA37" i="9" s="1"/>
  <c r="P35" i="9"/>
  <c r="AA35" i="9" s="1"/>
  <c r="P34" i="9"/>
  <c r="AA34" i="9" s="1"/>
  <c r="P32" i="9"/>
  <c r="AA32" i="9" s="1"/>
  <c r="P31" i="9"/>
  <c r="AA31" i="9" s="1"/>
  <c r="P30" i="9"/>
  <c r="AA30" i="9" s="1"/>
  <c r="P28" i="9"/>
  <c r="AA28" i="9" s="1"/>
  <c r="R37" i="9"/>
  <c r="AB37" i="9" s="1"/>
  <c r="R36" i="9"/>
  <c r="AB36" i="9" s="1"/>
  <c r="R35" i="9"/>
  <c r="AB35" i="9" s="1"/>
  <c r="R34" i="9"/>
  <c r="AB34" i="9" s="1"/>
  <c r="R32" i="9"/>
  <c r="AB32" i="9" s="1"/>
  <c r="R31" i="9"/>
  <c r="AB31" i="9" s="1"/>
  <c r="R30" i="9"/>
  <c r="AB30" i="9" s="1"/>
  <c r="R29" i="9"/>
  <c r="AB29" i="9" s="1"/>
  <c r="R28" i="9"/>
  <c r="AB28" i="9" s="1"/>
  <c r="X16" i="9"/>
  <c r="Y16" i="9"/>
  <c r="Z16" i="9"/>
  <c r="AA16" i="9"/>
  <c r="AB16" i="9"/>
  <c r="T34" i="9"/>
  <c r="T35" i="9"/>
  <c r="T36" i="9"/>
  <c r="K17" i="10" l="1"/>
  <c r="L17" i="10" s="1"/>
  <c r="N17" i="10" s="1"/>
  <c r="O17" i="10" s="1"/>
  <c r="P17" i="10" s="1"/>
  <c r="K16" i="2"/>
  <c r="L16" i="2" s="1"/>
  <c r="N16" i="2" s="1"/>
  <c r="O16" i="2" s="1"/>
  <c r="P16" i="2" s="1"/>
  <c r="Q16" i="2" s="1"/>
  <c r="K17" i="2"/>
  <c r="L17" i="2" s="1"/>
  <c r="N17" i="2" s="1"/>
  <c r="O17" i="2" s="1"/>
  <c r="P17" i="2" s="1"/>
  <c r="K18" i="2"/>
  <c r="L18" i="2" s="1"/>
  <c r="N18" i="2" s="1"/>
  <c r="O18" i="2" s="1"/>
  <c r="P18" i="2" s="1"/>
  <c r="K18" i="10"/>
  <c r="L18" i="10" s="1"/>
  <c r="N18" i="10" s="1"/>
  <c r="O18" i="10" s="1"/>
  <c r="P18" i="10" s="1"/>
  <c r="K16" i="10"/>
  <c r="L16" i="10" s="1"/>
  <c r="N16" i="10" s="1"/>
  <c r="O16" i="10" s="1"/>
  <c r="P16" i="10" l="1"/>
  <c r="Q16" i="10" s="1"/>
  <c r="Q17" i="10" s="1"/>
  <c r="Q18" i="10" s="1"/>
  <c r="Z10" i="10" s="1"/>
  <c r="T16" i="10" s="1"/>
  <c r="Q17" i="2"/>
  <c r="Q18" i="2" s="1"/>
  <c r="V16" i="10" l="1"/>
  <c r="U16" i="10"/>
  <c r="W16" i="10" s="1"/>
  <c r="Z10" i="2"/>
  <c r="T16" i="2" s="1"/>
  <c r="T17" i="10"/>
  <c r="V16" i="2" l="1"/>
  <c r="U16" i="2"/>
  <c r="W16" i="2" s="1"/>
  <c r="V17" i="10"/>
  <c r="U17" i="10"/>
  <c r="T17" i="2" l="1"/>
  <c r="V17" i="2" s="1"/>
  <c r="W17" i="10"/>
  <c r="T18" i="10"/>
  <c r="U17" i="2" l="1"/>
  <c r="W17" i="2" s="1"/>
  <c r="V18" i="10"/>
  <c r="U18" i="10"/>
  <c r="W18" i="10" s="1"/>
  <c r="T18" i="2" l="1"/>
  <c r="U18" i="2" s="1"/>
  <c r="W18" i="2" s="1"/>
  <c r="V18" i="2" l="1"/>
</calcChain>
</file>

<file path=xl/sharedStrings.xml><?xml version="1.0" encoding="utf-8"?>
<sst xmlns="http://schemas.openxmlformats.org/spreadsheetml/2006/main" count="242" uniqueCount="76">
  <si>
    <t>Troço</t>
  </si>
  <si>
    <t>Comprimento (m)</t>
  </si>
  <si>
    <t>Caudal (l/s)</t>
  </si>
  <si>
    <t>Conduta</t>
  </si>
  <si>
    <t>Determinação das perdas de carga</t>
  </si>
  <si>
    <t>Cota piezométrica</t>
  </si>
  <si>
    <t>Carga Hidráulica</t>
  </si>
  <si>
    <t>Material</t>
  </si>
  <si>
    <t>PN</t>
  </si>
  <si>
    <t>DN (mm)</t>
  </si>
  <si>
    <t>Dint (mm)</t>
  </si>
  <si>
    <t>Dint (m)</t>
  </si>
  <si>
    <t>K</t>
  </si>
  <si>
    <t>v (m/s)</t>
  </si>
  <si>
    <t>HL (m/m)</t>
  </si>
  <si>
    <t>Perda de carga (m)</t>
  </si>
  <si>
    <t>Troço (m)</t>
  </si>
  <si>
    <t>Total (m)</t>
  </si>
  <si>
    <t>XX</t>
  </si>
  <si>
    <t>Pressão nominal</t>
  </si>
  <si>
    <t>e (mm)</t>
  </si>
  <si>
    <t>PEAD</t>
  </si>
  <si>
    <t>PEAD - PE/MRS 100</t>
  </si>
  <si>
    <t>Betão</t>
  </si>
  <si>
    <t>Preço (€/m)</t>
  </si>
  <si>
    <t>Preços retirados das tabelas</t>
  </si>
  <si>
    <t>Dinâmica (m)</t>
  </si>
  <si>
    <t>montante</t>
  </si>
  <si>
    <t>jusante</t>
  </si>
  <si>
    <t>Nó
jusante</t>
  </si>
  <si>
    <t>Nó
montante</t>
  </si>
  <si>
    <t>K (mm)</t>
  </si>
  <si>
    <t>BETÃO</t>
  </si>
  <si>
    <t>PERDAS DE CARGA</t>
  </si>
  <si>
    <t>Máxima</t>
  </si>
  <si>
    <t>Mínima</t>
  </si>
  <si>
    <t>PROJETO:</t>
  </si>
  <si>
    <t>NOME:</t>
  </si>
  <si>
    <t>células a preencher</t>
  </si>
  <si>
    <t>Dimensionamento Hidráulico de Condutas</t>
  </si>
  <si>
    <t>N01</t>
  </si>
  <si>
    <t>N02</t>
  </si>
  <si>
    <t>CONDUTA</t>
  </si>
  <si>
    <t>MATERIAL</t>
  </si>
  <si>
    <t>Regra geral</t>
  </si>
  <si>
    <t>≤ 630 mm</t>
  </si>
  <si>
    <t>Velocidade de escoamento admissível (m/s)</t>
  </si>
  <si>
    <t>Aux</t>
  </si>
  <si>
    <t>Perdas de Carga</t>
  </si>
  <si>
    <t>Coeficiente de viscosidade cinemática (m²/s)</t>
  </si>
  <si>
    <t>Celev</t>
  </si>
  <si>
    <t>N00</t>
  </si>
  <si>
    <t>N03</t>
  </si>
  <si>
    <t>PREÇOS POLITEJO 2023, PE/MRS 100</t>
  </si>
  <si>
    <t>CUSTOS DE INVESTIMENTO</t>
  </si>
  <si>
    <t>Cota do terreno</t>
  </si>
  <si>
    <t>Estimativa total de custos de investimento da conduta elevatória (€)</t>
  </si>
  <si>
    <t>Estimativa de custos de investimento da conduta elevatória (€)</t>
  </si>
  <si>
    <t>Altura Elevação Geométrica na Estação Elevatória (m)</t>
  </si>
  <si>
    <t>Altura Elevação Manométrica na Estação Elevatória (m)</t>
  </si>
  <si>
    <t>Perdas de carga totais no circuito de aspiração e compressão da estação elevatória (m)</t>
  </si>
  <si>
    <t>Cota do Nível de Pleno Armazenamento de montante (albufeira) (m)</t>
  </si>
  <si>
    <t>Cota do Nível Mínimo de Exploração de montante (albufeira) (m)</t>
  </si>
  <si>
    <t>Cota do Nível de Pleno Armazenamento de jusante (reservatório) (m)</t>
  </si>
  <si>
    <t>Cota do Nível Mínimo de Exploração de jusante (reservatório) (m)</t>
  </si>
  <si>
    <t>Dados de base</t>
  </si>
  <si>
    <t>≥ 700 mm</t>
  </si>
  <si>
    <t>ALTERNATIVA 1</t>
  </si>
  <si>
    <t>ALTERNATIVA 2</t>
  </si>
  <si>
    <r>
      <t xml:space="preserve">As </t>
    </r>
    <r>
      <rPr>
        <b/>
        <sz val="18"/>
        <rFont val="Arial"/>
        <family val="2"/>
      </rPr>
      <t>perdas de carga contínuas</t>
    </r>
    <r>
      <rPr>
        <sz val="18"/>
        <rFont val="Arial"/>
        <family val="2"/>
      </rPr>
      <t xml:space="preserve"> determinam-se pela </t>
    </r>
    <r>
      <rPr>
        <b/>
        <sz val="18"/>
        <rFont val="Arial"/>
        <family val="2"/>
      </rPr>
      <t>fórmula de Colebrook-White</t>
    </r>
    <r>
      <rPr>
        <sz val="18"/>
        <rFont val="Arial"/>
        <family val="2"/>
      </rPr>
      <t xml:space="preserve"> admitindo rugosidades relativas (K).</t>
    </r>
  </si>
  <si>
    <r>
      <t xml:space="preserve">As </t>
    </r>
    <r>
      <rPr>
        <b/>
        <sz val="18"/>
        <rFont val="Arial"/>
        <family val="2"/>
      </rPr>
      <t>perdas de carga localizadas</t>
    </r>
    <r>
      <rPr>
        <sz val="18"/>
        <rFont val="Arial"/>
        <family val="2"/>
      </rPr>
      <t xml:space="preserve"> nos diversos acessórios correspondem a </t>
    </r>
    <r>
      <rPr>
        <b/>
        <sz val="18"/>
        <rFont val="Arial"/>
        <family val="2"/>
      </rPr>
      <t>10% das perdas de carga contínuas</t>
    </r>
    <r>
      <rPr>
        <sz val="18"/>
        <rFont val="Arial"/>
        <family val="2"/>
      </rPr>
      <t>.</t>
    </r>
  </si>
  <si>
    <t>BETÃO ARMADO COM ALMA DE AÇO</t>
  </si>
  <si>
    <t>Pressão</t>
  </si>
  <si>
    <t>TUBAGENS</t>
  </si>
  <si>
    <t>ANEXO 2 - DIMENSIONAMENTO HIDRÁULICO DE CONDUTA ELEVATÓRIA</t>
  </si>
  <si>
    <t>Factor para considerar transporte, montagem, acessorios e instalação e maciços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</si>
</sst>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0.000"/>
    <numFmt numFmtId="166" formatCode="0.00000"/>
    <numFmt numFmtId="167" formatCode="0.0"/>
    <numFmt numFmtId="168" formatCode="0\+000.00"/>
    <numFmt numFmtId="169" formatCode="[$€-2]\ #,##0;\-[$€-2]\ #,##0"/>
  </numFmts>
  <fonts count="2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color rgb="FF0070C0"/>
      <name val="Arial"/>
      <family val="2"/>
    </font>
    <font>
      <sz val="16"/>
      <name val="Arial"/>
      <family val="2"/>
    </font>
    <font>
      <b/>
      <sz val="18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theme="0"/>
      <name val="Arial"/>
      <family val="2"/>
    </font>
    <font>
      <sz val="18"/>
      <name val="Calibri"/>
      <family val="2"/>
      <scheme val="minor"/>
    </font>
    <font>
      <b/>
      <sz val="18"/>
      <color rgb="FFFF000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u/>
      <sz val="14"/>
      <color rgb="FF00B0F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7">
    <xf numFmtId="0" fontId="0" fillId="0" borderId="0" xfId="0"/>
    <xf numFmtId="0" fontId="4" fillId="7" borderId="0" xfId="0" applyFont="1" applyFill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7" borderId="2" xfId="0" applyFont="1" applyFill="1" applyBorder="1" applyAlignment="1">
      <alignment horizontal="left" vertical="top"/>
    </xf>
    <xf numFmtId="0" fontId="11" fillId="7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left" vertical="center"/>
    </xf>
    <xf numFmtId="0" fontId="13" fillId="16" borderId="25" xfId="0" applyFont="1" applyFill="1" applyBorder="1" applyAlignment="1">
      <alignment horizontal="center" vertical="center" wrapText="1"/>
    </xf>
    <xf numFmtId="0" fontId="11" fillId="7" borderId="62" xfId="0" applyFont="1" applyFill="1" applyBorder="1" applyAlignment="1">
      <alignment horizontal="left" vertical="top"/>
    </xf>
    <xf numFmtId="0" fontId="11" fillId="7" borderId="0" xfId="0" applyFont="1" applyFill="1" applyAlignment="1">
      <alignment horizontal="left" vertical="top"/>
    </xf>
    <xf numFmtId="0" fontId="12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12" fillId="14" borderId="62" xfId="0" applyFont="1" applyFill="1" applyBorder="1"/>
    <xf numFmtId="0" fontId="12" fillId="14" borderId="0" xfId="0" applyFont="1" applyFill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15" borderId="47" xfId="0" applyFont="1" applyFill="1" applyBorder="1" applyAlignment="1">
      <alignment horizontal="center"/>
    </xf>
    <xf numFmtId="165" fontId="12" fillId="11" borderId="47" xfId="0" applyNumberFormat="1" applyFont="1" applyFill="1" applyBorder="1" applyAlignment="1" applyProtection="1">
      <alignment horizontal="center"/>
      <protection locked="0"/>
    </xf>
    <xf numFmtId="2" fontId="12" fillId="11" borderId="47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2" fillId="0" borderId="62" xfId="0" applyFont="1" applyBorder="1"/>
    <xf numFmtId="0" fontId="13" fillId="0" borderId="51" xfId="0" applyFont="1" applyBorder="1" applyAlignment="1">
      <alignment horizontal="center"/>
    </xf>
    <xf numFmtId="0" fontId="13" fillId="0" borderId="51" xfId="0" applyFont="1" applyBorder="1"/>
    <xf numFmtId="0" fontId="12" fillId="0" borderId="51" xfId="0" applyFont="1" applyBorder="1"/>
    <xf numFmtId="0" fontId="13" fillId="15" borderId="49" xfId="0" applyFont="1" applyFill="1" applyBorder="1" applyAlignment="1">
      <alignment horizontal="center"/>
    </xf>
    <xf numFmtId="0" fontId="13" fillId="0" borderId="48" xfId="0" applyFont="1" applyBorder="1"/>
    <xf numFmtId="165" fontId="12" fillId="11" borderId="49" xfId="0" applyNumberFormat="1" applyFont="1" applyFill="1" applyBorder="1" applyAlignment="1" applyProtection="1">
      <alignment horizontal="center"/>
      <protection locked="0"/>
    </xf>
    <xf numFmtId="2" fontId="12" fillId="11" borderId="49" xfId="0" applyNumberFormat="1" applyFont="1" applyFill="1" applyBorder="1" applyAlignment="1" applyProtection="1">
      <alignment horizontal="center"/>
      <protection locked="0"/>
    </xf>
    <xf numFmtId="2" fontId="13" fillId="15" borderId="27" xfId="0" applyNumberFormat="1" applyFont="1" applyFill="1" applyBorder="1" applyAlignment="1">
      <alignment horizontal="center"/>
    </xf>
    <xf numFmtId="0" fontId="12" fillId="0" borderId="63" xfId="0" applyFont="1" applyBorder="1"/>
    <xf numFmtId="0" fontId="12" fillId="0" borderId="6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12" borderId="55" xfId="0" applyFont="1" applyFill="1" applyBorder="1" applyAlignment="1">
      <alignment vertical="center"/>
    </xf>
    <xf numFmtId="169" fontId="13" fillId="0" borderId="0" xfId="0" applyNumberFormat="1" applyFont="1" applyAlignment="1">
      <alignment horizontal="center"/>
    </xf>
    <xf numFmtId="169" fontId="13" fillId="0" borderId="63" xfId="0" applyNumberFormat="1" applyFont="1" applyBorder="1" applyAlignment="1">
      <alignment horizontal="center"/>
    </xf>
    <xf numFmtId="0" fontId="13" fillId="0" borderId="35" xfId="0" applyFont="1" applyBorder="1"/>
    <xf numFmtId="165" fontId="13" fillId="0" borderId="19" xfId="0" applyNumberFormat="1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2" fontId="12" fillId="8" borderId="20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168" fontId="12" fillId="8" borderId="21" xfId="0" applyNumberFormat="1" applyFont="1" applyFill="1" applyBorder="1" applyAlignment="1">
      <alignment horizontal="center"/>
    </xf>
    <xf numFmtId="1" fontId="12" fillId="14" borderId="21" xfId="0" applyNumberFormat="1" applyFont="1" applyFill="1" applyBorder="1" applyAlignment="1">
      <alignment horizontal="center"/>
    </xf>
    <xf numFmtId="1" fontId="12" fillId="8" borderId="21" xfId="0" applyNumberFormat="1" applyFont="1" applyFill="1" applyBorder="1" applyAlignment="1">
      <alignment horizontal="center"/>
    </xf>
    <xf numFmtId="167" fontId="12" fillId="0" borderId="21" xfId="0" applyNumberFormat="1" applyFont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1" fontId="12" fillId="0" borderId="21" xfId="0" applyNumberFormat="1" applyFont="1" applyBorder="1" applyAlignment="1">
      <alignment horizontal="center"/>
    </xf>
    <xf numFmtId="165" fontId="12" fillId="0" borderId="21" xfId="0" applyNumberFormat="1" applyFont="1" applyBorder="1" applyAlignment="1">
      <alignment horizontal="center"/>
    </xf>
    <xf numFmtId="2" fontId="12" fillId="6" borderId="21" xfId="0" applyNumberFormat="1" applyFont="1" applyFill="1" applyBorder="1" applyAlignment="1">
      <alignment horizontal="center"/>
    </xf>
    <xf numFmtId="166" fontId="12" fillId="0" borderId="21" xfId="0" applyNumberFormat="1" applyFont="1" applyBorder="1" applyAlignment="1" applyProtection="1">
      <alignment horizontal="center"/>
      <protection locked="0"/>
    </xf>
    <xf numFmtId="2" fontId="12" fillId="8" borderId="21" xfId="0" applyNumberFormat="1" applyFon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168" fontId="12" fillId="0" borderId="21" xfId="0" applyNumberFormat="1" applyFont="1" applyBorder="1" applyAlignment="1">
      <alignment horizontal="center"/>
    </xf>
    <xf numFmtId="2" fontId="12" fillId="8" borderId="70" xfId="0" applyNumberFormat="1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168" fontId="12" fillId="0" borderId="71" xfId="0" applyNumberFormat="1" applyFont="1" applyBorder="1" applyAlignment="1">
      <alignment horizontal="center"/>
    </xf>
    <xf numFmtId="168" fontId="12" fillId="8" borderId="71" xfId="0" applyNumberFormat="1" applyFont="1" applyFill="1" applyBorder="1" applyAlignment="1">
      <alignment horizontal="center"/>
    </xf>
    <xf numFmtId="1" fontId="12" fillId="14" borderId="71" xfId="0" applyNumberFormat="1" applyFont="1" applyFill="1" applyBorder="1" applyAlignment="1">
      <alignment horizontal="center"/>
    </xf>
    <xf numFmtId="1" fontId="12" fillId="8" borderId="71" xfId="0" applyNumberFormat="1" applyFont="1" applyFill="1" applyBorder="1" applyAlignment="1">
      <alignment horizontal="center"/>
    </xf>
    <xf numFmtId="167" fontId="12" fillId="0" borderId="71" xfId="0" applyNumberFormat="1" applyFont="1" applyBorder="1" applyAlignment="1">
      <alignment horizontal="center"/>
    </xf>
    <xf numFmtId="0" fontId="12" fillId="5" borderId="71" xfId="0" applyFont="1" applyFill="1" applyBorder="1" applyAlignment="1">
      <alignment horizontal="center"/>
    </xf>
    <xf numFmtId="1" fontId="12" fillId="0" borderId="71" xfId="0" applyNumberFormat="1" applyFont="1" applyBorder="1" applyAlignment="1">
      <alignment horizontal="center"/>
    </xf>
    <xf numFmtId="165" fontId="12" fillId="0" borderId="71" xfId="0" applyNumberFormat="1" applyFont="1" applyBorder="1" applyAlignment="1">
      <alignment horizontal="center"/>
    </xf>
    <xf numFmtId="2" fontId="12" fillId="6" borderId="71" xfId="0" applyNumberFormat="1" applyFont="1" applyFill="1" applyBorder="1" applyAlignment="1">
      <alignment horizontal="center"/>
    </xf>
    <xf numFmtId="166" fontId="12" fillId="0" borderId="71" xfId="0" applyNumberFormat="1" applyFont="1" applyBorder="1" applyAlignment="1" applyProtection="1">
      <alignment horizontal="center"/>
      <protection locked="0"/>
    </xf>
    <xf numFmtId="2" fontId="12" fillId="8" borderId="71" xfId="0" applyNumberFormat="1" applyFont="1" applyFill="1" applyBorder="1" applyAlignment="1">
      <alignment horizontal="center"/>
    </xf>
    <xf numFmtId="2" fontId="12" fillId="0" borderId="71" xfId="0" applyNumberFormat="1" applyFont="1" applyBorder="1" applyAlignment="1">
      <alignment horizontal="center"/>
    </xf>
    <xf numFmtId="2" fontId="16" fillId="20" borderId="71" xfId="0" applyNumberFormat="1" applyFont="1" applyFill="1" applyBorder="1" applyAlignment="1">
      <alignment horizontal="center"/>
    </xf>
    <xf numFmtId="3" fontId="12" fillId="0" borderId="72" xfId="0" applyNumberFormat="1" applyFont="1" applyBorder="1" applyAlignment="1">
      <alignment horizontal="center"/>
    </xf>
    <xf numFmtId="3" fontId="12" fillId="0" borderId="73" xfId="0" applyNumberFormat="1" applyFont="1" applyBorder="1" applyAlignment="1">
      <alignment horizontal="center"/>
    </xf>
    <xf numFmtId="0" fontId="12" fillId="21" borderId="62" xfId="0" applyFont="1" applyFill="1" applyBorder="1"/>
    <xf numFmtId="0" fontId="12" fillId="21" borderId="0" xfId="0" applyFont="1" applyFill="1"/>
    <xf numFmtId="2" fontId="12" fillId="21" borderId="0" xfId="0" applyNumberFormat="1" applyFont="1" applyFill="1"/>
    <xf numFmtId="0" fontId="12" fillId="21" borderId="47" xfId="0" applyFont="1" applyFill="1" applyBorder="1"/>
    <xf numFmtId="2" fontId="12" fillId="21" borderId="63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165" fontId="12" fillId="21" borderId="0" xfId="0" applyNumberFormat="1" applyFont="1" applyFill="1" applyAlignment="1">
      <alignment horizontal="center"/>
    </xf>
    <xf numFmtId="2" fontId="12" fillId="21" borderId="0" xfId="0" applyNumberFormat="1" applyFont="1" applyFill="1" applyAlignment="1">
      <alignment horizontal="center"/>
    </xf>
    <xf numFmtId="165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0" fontId="12" fillId="21" borderId="64" xfId="0" applyFont="1" applyFill="1" applyBorder="1"/>
    <xf numFmtId="0" fontId="12" fillId="21" borderId="51" xfId="0" applyFont="1" applyFill="1" applyBorder="1"/>
    <xf numFmtId="2" fontId="12" fillId="21" borderId="51" xfId="0" applyNumberFormat="1" applyFont="1" applyFill="1" applyBorder="1"/>
    <xf numFmtId="0" fontId="12" fillId="21" borderId="49" xfId="0" applyFont="1" applyFill="1" applyBorder="1"/>
    <xf numFmtId="2" fontId="12" fillId="21" borderId="65" xfId="0" applyNumberFormat="1" applyFont="1" applyFill="1" applyBorder="1" applyAlignment="1">
      <alignment horizontal="right"/>
    </xf>
    <xf numFmtId="0" fontId="12" fillId="7" borderId="0" xfId="0" applyFont="1" applyFill="1" applyAlignment="1">
      <alignment horizontal="center"/>
    </xf>
    <xf numFmtId="0" fontId="13" fillId="16" borderId="22" xfId="0" applyFont="1" applyFill="1" applyBorder="1" applyAlignment="1">
      <alignment horizontal="center" vertical="center" wrapText="1"/>
    </xf>
    <xf numFmtId="2" fontId="13" fillId="15" borderId="23" xfId="0" applyNumberFormat="1" applyFont="1" applyFill="1" applyBorder="1" applyAlignment="1">
      <alignment horizontal="center"/>
    </xf>
    <xf numFmtId="2" fontId="12" fillId="6" borderId="61" xfId="0" applyNumberFormat="1" applyFont="1" applyFill="1" applyBorder="1" applyAlignment="1">
      <alignment horizontal="center"/>
    </xf>
    <xf numFmtId="166" fontId="12" fillId="0" borderId="61" xfId="0" applyNumberFormat="1" applyFont="1" applyBorder="1" applyAlignment="1" applyProtection="1">
      <alignment horizontal="center"/>
      <protection locked="0"/>
    </xf>
    <xf numFmtId="165" fontId="12" fillId="0" borderId="61" xfId="0" applyNumberFormat="1" applyFont="1" applyBorder="1" applyAlignment="1">
      <alignment horizontal="center"/>
    </xf>
    <xf numFmtId="2" fontId="12" fillId="8" borderId="61" xfId="0" applyNumberFormat="1" applyFont="1" applyFill="1" applyBorder="1" applyAlignment="1">
      <alignment horizontal="center"/>
    </xf>
    <xf numFmtId="2" fontId="12" fillId="0" borderId="61" xfId="0" applyNumberFormat="1" applyFont="1" applyBorder="1" applyAlignment="1">
      <alignment horizontal="center"/>
    </xf>
    <xf numFmtId="2" fontId="16" fillId="20" borderId="61" xfId="0" applyNumberFormat="1" applyFont="1" applyFill="1" applyBorder="1" applyAlignment="1">
      <alignment horizontal="center"/>
    </xf>
    <xf numFmtId="0" fontId="12" fillId="21" borderId="2" xfId="0" applyFont="1" applyFill="1" applyBorder="1"/>
    <xf numFmtId="0" fontId="12" fillId="21" borderId="3" xfId="0" applyFont="1" applyFill="1" applyBorder="1"/>
    <xf numFmtId="2" fontId="12" fillId="21" borderId="3" xfId="0" applyNumberFormat="1" applyFont="1" applyFill="1" applyBorder="1"/>
    <xf numFmtId="0" fontId="12" fillId="21" borderId="66" xfId="0" applyFont="1" applyFill="1" applyBorder="1"/>
    <xf numFmtId="2" fontId="12" fillId="21" borderId="4" xfId="0" applyNumberFormat="1" applyFont="1" applyFill="1" applyBorder="1" applyAlignment="1">
      <alignment horizontal="right"/>
    </xf>
    <xf numFmtId="0" fontId="6" fillId="9" borderId="1" xfId="1" applyFont="1" applyFill="1" applyBorder="1" applyAlignment="1">
      <alignment horizontal="center"/>
    </xf>
    <xf numFmtId="167" fontId="6" fillId="9" borderId="1" xfId="1" applyNumberFormat="1" applyFont="1" applyFill="1" applyBorder="1" applyAlignment="1">
      <alignment horizontal="center"/>
    </xf>
    <xf numFmtId="0" fontId="6" fillId="9" borderId="1" xfId="1" applyFont="1" applyFill="1" applyBorder="1"/>
    <xf numFmtId="0" fontId="6" fillId="22" borderId="1" xfId="0" applyFont="1" applyFill="1" applyBorder="1" applyAlignment="1">
      <alignment horizontal="center"/>
    </xf>
    <xf numFmtId="0" fontId="6" fillId="2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0" borderId="0" xfId="0" applyFont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/>
    </xf>
    <xf numFmtId="1" fontId="6" fillId="13" borderId="1" xfId="0" applyNumberFormat="1" applyFont="1" applyFill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0" fontId="19" fillId="0" borderId="0" xfId="0" applyFont="1"/>
    <xf numFmtId="0" fontId="7" fillId="23" borderId="1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/>
    </xf>
    <xf numFmtId="0" fontId="8" fillId="23" borderId="10" xfId="0" applyFont="1" applyFill="1" applyBorder="1" applyAlignment="1">
      <alignment horizontal="center"/>
    </xf>
    <xf numFmtId="0" fontId="8" fillId="23" borderId="11" xfId="0" applyFont="1" applyFill="1" applyBorder="1" applyAlignment="1">
      <alignment horizontal="center"/>
    </xf>
    <xf numFmtId="0" fontId="8" fillId="23" borderId="12" xfId="0" applyFont="1" applyFill="1" applyBorder="1" applyAlignment="1">
      <alignment horizontal="center"/>
    </xf>
    <xf numFmtId="0" fontId="8" fillId="23" borderId="8" xfId="0" applyFon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0" fontId="14" fillId="10" borderId="44" xfId="0" applyFont="1" applyFill="1" applyBorder="1" applyAlignment="1" applyProtection="1">
      <alignment horizontal="center" vertical="center"/>
      <protection locked="0"/>
    </xf>
    <xf numFmtId="0" fontId="14" fillId="10" borderId="46" xfId="0" applyFont="1" applyFill="1" applyBorder="1" applyAlignment="1" applyProtection="1">
      <alignment horizontal="center" vertical="center"/>
      <protection locked="0"/>
    </xf>
    <xf numFmtId="0" fontId="14" fillId="10" borderId="48" xfId="0" applyFont="1" applyFill="1" applyBorder="1" applyAlignment="1" applyProtection="1">
      <alignment horizontal="center" vertical="center"/>
      <protection locked="0"/>
    </xf>
    <xf numFmtId="0" fontId="14" fillId="10" borderId="49" xfId="0" applyFont="1" applyFill="1" applyBorder="1" applyAlignment="1" applyProtection="1">
      <alignment horizontal="center" vertical="center"/>
      <protection locked="0"/>
    </xf>
    <xf numFmtId="0" fontId="13" fillId="7" borderId="44" xfId="0" applyFont="1" applyFill="1" applyBorder="1" applyAlignment="1">
      <alignment horizontal="center" vertical="center" wrapText="1"/>
    </xf>
    <xf numFmtId="0" fontId="13" fillId="7" borderId="48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16" borderId="25" xfId="0" applyFont="1" applyFill="1" applyBorder="1" applyAlignment="1">
      <alignment horizontal="center" vertical="center" wrapText="1"/>
    </xf>
    <xf numFmtId="0" fontId="13" fillId="16" borderId="26" xfId="0" applyFont="1" applyFill="1" applyBorder="1" applyAlignment="1">
      <alignment horizontal="center" vertical="center" wrapText="1"/>
    </xf>
    <xf numFmtId="0" fontId="13" fillId="16" borderId="27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16" borderId="43" xfId="0" applyFont="1" applyFill="1" applyBorder="1" applyAlignment="1">
      <alignment horizontal="center" vertical="center" wrapText="1"/>
    </xf>
    <xf numFmtId="0" fontId="13" fillId="16" borderId="24" xfId="0" applyFont="1" applyFill="1" applyBorder="1" applyAlignment="1">
      <alignment horizontal="center" vertical="center" wrapText="1"/>
    </xf>
    <xf numFmtId="0" fontId="13" fillId="16" borderId="2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5" fontId="13" fillId="0" borderId="19" xfId="0" applyNumberFormat="1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17" borderId="35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7" borderId="69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13" fillId="12" borderId="54" xfId="0" applyFont="1" applyFill="1" applyBorder="1" applyAlignment="1">
      <alignment horizontal="left" vertical="center"/>
    </xf>
    <xf numFmtId="0" fontId="13" fillId="12" borderId="53" xfId="0" applyFont="1" applyFill="1" applyBorder="1" applyAlignment="1">
      <alignment horizontal="left" vertical="center"/>
    </xf>
    <xf numFmtId="0" fontId="13" fillId="19" borderId="44" xfId="0" applyFont="1" applyFill="1" applyBorder="1" applyAlignment="1">
      <alignment horizontal="center" vertical="center" wrapText="1"/>
    </xf>
    <xf numFmtId="0" fontId="13" fillId="19" borderId="50" xfId="0" applyFont="1" applyFill="1" applyBorder="1" applyAlignment="1">
      <alignment horizontal="center" vertical="center" wrapText="1"/>
    </xf>
    <xf numFmtId="0" fontId="13" fillId="19" borderId="45" xfId="0" applyFont="1" applyFill="1" applyBorder="1" applyAlignment="1">
      <alignment horizontal="center" vertical="center" wrapText="1"/>
    </xf>
    <xf numFmtId="0" fontId="13" fillId="19" borderId="0" xfId="0" applyFont="1" applyFill="1" applyAlignment="1">
      <alignment horizontal="center" vertical="center" wrapText="1"/>
    </xf>
    <xf numFmtId="2" fontId="13" fillId="8" borderId="46" xfId="0" applyNumberFormat="1" applyFont="1" applyFill="1" applyBorder="1" applyAlignment="1">
      <alignment horizontal="center" vertical="center" wrapText="1"/>
    </xf>
    <xf numFmtId="2" fontId="13" fillId="8" borderId="49" xfId="0" applyNumberFormat="1" applyFont="1" applyFill="1" applyBorder="1" applyAlignment="1">
      <alignment horizontal="center" vertical="center" wrapText="1"/>
    </xf>
    <xf numFmtId="0" fontId="13" fillId="18" borderId="11" xfId="0" applyFont="1" applyFill="1" applyBorder="1" applyAlignment="1">
      <alignment horizontal="center" vertical="center"/>
    </xf>
    <xf numFmtId="0" fontId="13" fillId="18" borderId="68" xfId="0" applyFont="1" applyFill="1" applyBorder="1" applyAlignment="1">
      <alignment horizontal="center" vertical="center"/>
    </xf>
    <xf numFmtId="0" fontId="13" fillId="18" borderId="9" xfId="0" applyFont="1" applyFill="1" applyBorder="1" applyAlignment="1">
      <alignment horizontal="center" vertical="center"/>
    </xf>
    <xf numFmtId="0" fontId="12" fillId="12" borderId="44" xfId="0" applyFont="1" applyFill="1" applyBorder="1" applyAlignment="1">
      <alignment horizontal="left" vertical="justify" wrapText="1"/>
    </xf>
    <xf numFmtId="0" fontId="12" fillId="12" borderId="50" xfId="0" applyFont="1" applyFill="1" applyBorder="1" applyAlignment="1">
      <alignment horizontal="left" vertical="justify" wrapText="1"/>
    </xf>
    <xf numFmtId="0" fontId="12" fillId="12" borderId="46" xfId="0" applyFont="1" applyFill="1" applyBorder="1" applyAlignment="1">
      <alignment horizontal="left" vertical="justify" wrapText="1"/>
    </xf>
    <xf numFmtId="0" fontId="12" fillId="12" borderId="48" xfId="0" applyFont="1" applyFill="1" applyBorder="1" applyAlignment="1">
      <alignment horizontal="left" vertical="justify" wrapText="1"/>
    </xf>
    <xf numFmtId="0" fontId="12" fillId="12" borderId="51" xfId="0" applyFont="1" applyFill="1" applyBorder="1" applyAlignment="1">
      <alignment horizontal="left" vertical="justify" wrapText="1"/>
    </xf>
    <xf numFmtId="0" fontId="12" fillId="12" borderId="49" xfId="0" applyFont="1" applyFill="1" applyBorder="1" applyAlignment="1">
      <alignment horizontal="left" vertical="justify" wrapText="1"/>
    </xf>
    <xf numFmtId="0" fontId="12" fillId="12" borderId="44" xfId="0" applyFont="1" applyFill="1" applyBorder="1" applyAlignment="1">
      <alignment horizontal="justify" vertical="justify" wrapText="1"/>
    </xf>
    <xf numFmtId="0" fontId="12" fillId="12" borderId="50" xfId="0" applyFont="1" applyFill="1" applyBorder="1" applyAlignment="1">
      <alignment horizontal="justify" vertical="justify" wrapText="1"/>
    </xf>
    <xf numFmtId="0" fontId="12" fillId="12" borderId="46" xfId="0" applyFont="1" applyFill="1" applyBorder="1" applyAlignment="1">
      <alignment horizontal="justify" vertical="justify" wrapText="1"/>
    </xf>
    <xf numFmtId="0" fontId="12" fillId="12" borderId="48" xfId="0" applyFont="1" applyFill="1" applyBorder="1" applyAlignment="1">
      <alignment horizontal="justify" vertical="justify" wrapText="1"/>
    </xf>
    <xf numFmtId="0" fontId="12" fillId="12" borderId="51" xfId="0" applyFont="1" applyFill="1" applyBorder="1" applyAlignment="1">
      <alignment horizontal="justify" vertical="justify" wrapText="1"/>
    </xf>
    <xf numFmtId="0" fontId="12" fillId="12" borderId="49" xfId="0" applyFont="1" applyFill="1" applyBorder="1" applyAlignment="1">
      <alignment horizontal="justify" vertical="justify" wrapText="1"/>
    </xf>
    <xf numFmtId="0" fontId="14" fillId="10" borderId="50" xfId="0" applyFont="1" applyFill="1" applyBorder="1" applyAlignment="1" applyProtection="1">
      <alignment horizontal="center" vertical="center"/>
      <protection locked="0"/>
    </xf>
    <xf numFmtId="0" fontId="14" fillId="10" borderId="51" xfId="0" applyFont="1" applyFill="1" applyBorder="1" applyAlignment="1" applyProtection="1">
      <alignment horizontal="center" vertical="center"/>
      <protection locked="0"/>
    </xf>
    <xf numFmtId="0" fontId="13" fillId="17" borderId="11" xfId="0" applyFont="1" applyFill="1" applyBorder="1" applyAlignment="1">
      <alignment horizontal="center" vertical="center" wrapText="1"/>
    </xf>
    <xf numFmtId="0" fontId="13" fillId="17" borderId="68" xfId="0" applyFont="1" applyFill="1" applyBorder="1" applyAlignment="1">
      <alignment horizontal="center" vertical="center" wrapText="1"/>
    </xf>
    <xf numFmtId="0" fontId="13" fillId="17" borderId="9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 applyProtection="1">
      <alignment horizontal="center" vertical="center" wrapText="1"/>
      <protection locked="0"/>
    </xf>
    <xf numFmtId="0" fontId="14" fillId="10" borderId="50" xfId="0" applyFont="1" applyFill="1" applyBorder="1" applyAlignment="1" applyProtection="1">
      <alignment horizontal="center" vertical="center" wrapText="1"/>
      <protection locked="0"/>
    </xf>
    <xf numFmtId="0" fontId="14" fillId="10" borderId="46" xfId="0" applyFont="1" applyFill="1" applyBorder="1" applyAlignment="1" applyProtection="1">
      <alignment horizontal="center" vertical="center" wrapText="1"/>
      <protection locked="0"/>
    </xf>
    <xf numFmtId="0" fontId="14" fillId="10" borderId="48" xfId="0" applyFont="1" applyFill="1" applyBorder="1" applyAlignment="1" applyProtection="1">
      <alignment horizontal="center" vertical="center" wrapText="1"/>
      <protection locked="0"/>
    </xf>
    <xf numFmtId="0" fontId="14" fillId="10" borderId="51" xfId="0" applyFont="1" applyFill="1" applyBorder="1" applyAlignment="1" applyProtection="1">
      <alignment horizontal="center" vertical="center" wrapText="1"/>
      <protection locked="0"/>
    </xf>
    <xf numFmtId="0" fontId="14" fillId="10" borderId="49" xfId="0" applyFont="1" applyFill="1" applyBorder="1" applyAlignment="1" applyProtection="1">
      <alignment horizontal="center" vertical="center" wrapText="1"/>
      <protection locked="0"/>
    </xf>
    <xf numFmtId="0" fontId="14" fillId="10" borderId="44" xfId="0" applyFont="1" applyFill="1" applyBorder="1" applyAlignment="1">
      <alignment horizontal="center" vertical="center"/>
    </xf>
    <xf numFmtId="0" fontId="14" fillId="10" borderId="50" xfId="0" applyFont="1" applyFill="1" applyBorder="1" applyAlignment="1">
      <alignment horizontal="center" vertical="center"/>
    </xf>
    <xf numFmtId="0" fontId="14" fillId="10" borderId="46" xfId="0" applyFont="1" applyFill="1" applyBorder="1" applyAlignment="1">
      <alignment horizontal="center" vertical="center"/>
    </xf>
    <xf numFmtId="0" fontId="14" fillId="10" borderId="48" xfId="0" applyFont="1" applyFill="1" applyBorder="1" applyAlignment="1">
      <alignment horizontal="center" vertical="center"/>
    </xf>
    <xf numFmtId="0" fontId="14" fillId="10" borderId="51" xfId="0" applyFont="1" applyFill="1" applyBorder="1" applyAlignment="1">
      <alignment horizontal="center" vertical="center"/>
    </xf>
    <xf numFmtId="0" fontId="14" fillId="10" borderId="49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2" fillId="21" borderId="62" xfId="0" applyFont="1" applyFill="1" applyBorder="1" applyAlignment="1">
      <alignment horizontal="left" wrapText="1"/>
    </xf>
    <xf numFmtId="0" fontId="12" fillId="21" borderId="0" xfId="0" applyFont="1" applyFill="1" applyAlignment="1">
      <alignment horizontal="left" wrapText="1"/>
    </xf>
    <xf numFmtId="0" fontId="12" fillId="21" borderId="47" xfId="0" applyFont="1" applyFill="1" applyBorder="1" applyAlignment="1">
      <alignment horizontal="left" wrapText="1"/>
    </xf>
    <xf numFmtId="0" fontId="12" fillId="21" borderId="5" xfId="0" applyFont="1" applyFill="1" applyBorder="1" applyAlignment="1">
      <alignment horizontal="left" wrapText="1"/>
    </xf>
    <xf numFmtId="0" fontId="12" fillId="21" borderId="6" xfId="0" applyFont="1" applyFill="1" applyBorder="1" applyAlignment="1">
      <alignment horizontal="left" wrapText="1"/>
    </xf>
    <xf numFmtId="0" fontId="12" fillId="21" borderId="67" xfId="0" applyFont="1" applyFill="1" applyBorder="1" applyAlignment="1">
      <alignment horizontal="left" wrapText="1"/>
    </xf>
    <xf numFmtId="2" fontId="12" fillId="21" borderId="63" xfId="0" applyNumberFormat="1" applyFont="1" applyFill="1" applyBorder="1" applyAlignment="1">
      <alignment horizontal="right"/>
    </xf>
    <xf numFmtId="2" fontId="12" fillId="21" borderId="7" xfId="0" applyNumberFormat="1" applyFont="1" applyFill="1" applyBorder="1" applyAlignment="1">
      <alignment horizontal="right"/>
    </xf>
    <xf numFmtId="0" fontId="13" fillId="21" borderId="62" xfId="0" applyFont="1" applyFill="1" applyBorder="1" applyAlignment="1">
      <alignment horizontal="center" vertical="center"/>
    </xf>
    <xf numFmtId="0" fontId="13" fillId="21" borderId="0" xfId="0" applyFont="1" applyFill="1" applyAlignment="1">
      <alignment horizontal="center" vertical="center"/>
    </xf>
    <xf numFmtId="0" fontId="13" fillId="21" borderId="63" xfId="0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6" xfId="0" applyFont="1" applyFill="1" applyBorder="1" applyAlignment="1">
      <alignment horizontal="center" vertical="center"/>
    </xf>
    <xf numFmtId="0" fontId="13" fillId="21" borderId="7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18" borderId="35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164" fontId="13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3" fillId="18" borderId="14" xfId="0" applyFont="1" applyFill="1" applyBorder="1" applyAlignment="1">
      <alignment horizontal="center" vertical="center"/>
    </xf>
    <xf numFmtId="0" fontId="13" fillId="18" borderId="52" xfId="0" applyFont="1" applyFill="1" applyBorder="1" applyAlignment="1">
      <alignment horizontal="center" vertical="center"/>
    </xf>
    <xf numFmtId="0" fontId="13" fillId="18" borderId="37" xfId="0" applyFont="1" applyFill="1" applyBorder="1" applyAlignment="1">
      <alignment horizontal="center" vertical="center"/>
    </xf>
    <xf numFmtId="0" fontId="13" fillId="17" borderId="14" xfId="0" applyFont="1" applyFill="1" applyBorder="1" applyAlignment="1">
      <alignment horizontal="center" vertical="center" wrapText="1"/>
    </xf>
    <xf numFmtId="0" fontId="13" fillId="17" borderId="52" xfId="0" applyFont="1" applyFill="1" applyBorder="1" applyAlignment="1">
      <alignment horizontal="center" vertical="center" wrapText="1"/>
    </xf>
    <xf numFmtId="0" fontId="13" fillId="17" borderId="37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/>
    </xf>
    <xf numFmtId="0" fontId="13" fillId="21" borderId="4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7" fillId="23" borderId="14" xfId="0" applyFont="1" applyFill="1" applyBorder="1" applyAlignment="1">
      <alignment horizontal="center" vertical="center"/>
    </xf>
    <xf numFmtId="0" fontId="7" fillId="23" borderId="37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/>
    </xf>
    <xf numFmtId="3" fontId="13" fillId="0" borderId="74" xfId="0" applyNumberFormat="1" applyFont="1" applyBorder="1" applyAlignment="1">
      <alignment horizontal="center"/>
    </xf>
    <xf numFmtId="3" fontId="13" fillId="0" borderId="75" xfId="0" applyNumberFormat="1" applyFont="1" applyBorder="1" applyAlignment="1">
      <alignment horizontal="center"/>
    </xf>
    <xf numFmtId="3" fontId="12" fillId="0" borderId="22" xfId="0" applyNumberFormat="1" applyFont="1" applyBorder="1" applyAlignment="1">
      <alignment horizontal="center"/>
    </xf>
    <xf numFmtId="3" fontId="12" fillId="0" borderId="69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ndense val="0"/>
        <extend val="0"/>
        <color auto="1"/>
      </font>
      <fill>
        <patternFill>
          <bgColor rgb="FFFFC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rgb="FFFFC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5E2FD"/>
      <rgbColor rgb="00FF99CC"/>
      <rgbColor rgb="00CC99FF"/>
      <rgbColor rgb="00FFE8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4</xdr:row>
          <xdr:rowOff>312420</xdr:rowOff>
        </xdr:from>
        <xdr:to>
          <xdr:col>25</xdr:col>
          <xdr:colOff>1325880</xdr:colOff>
          <xdr:row>6</xdr:row>
          <xdr:rowOff>167640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145475</xdr:colOff>
          <xdr:row>4</xdr:row>
          <xdr:rowOff>381000</xdr:rowOff>
        </xdr:from>
        <xdr:to>
          <xdr:col>25</xdr:col>
          <xdr:colOff>1578036</xdr:colOff>
          <xdr:row>6</xdr:row>
          <xdr:rowOff>137160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7"/>
    <pageSetUpPr fitToPage="1"/>
  </sheetPr>
  <dimension ref="A1:FB41"/>
  <sheetViews>
    <sheetView showGridLines="0" tabSelected="1" zoomScale="55" zoomScaleNormal="55" zoomScaleSheetLayoutView="85" workbookViewId="0">
      <pane ySplit="15" topLeftCell="A16" activePane="bottomLeft" state="frozen"/>
      <selection pane="bottomLeft" activeCell="Z19" sqref="Z19:AA19"/>
    </sheetView>
  </sheetViews>
  <sheetFormatPr defaultColWidth="9.109375" defaultRowHeight="14.4" x14ac:dyDescent="0.3"/>
  <cols>
    <col min="1" max="1" width="17.21875" style="2" customWidth="1"/>
    <col min="2" max="2" width="12.21875" style="2" customWidth="1"/>
    <col min="3" max="3" width="16.88671875" style="2" customWidth="1"/>
    <col min="4" max="4" width="13.77734375" style="2" customWidth="1"/>
    <col min="5" max="5" width="23.44140625" style="2" customWidth="1"/>
    <col min="6" max="6" width="12.44140625" style="2" customWidth="1"/>
    <col min="7" max="7" width="14.33203125" style="2" customWidth="1"/>
    <col min="8" max="8" width="11.109375" style="2" customWidth="1"/>
    <col min="9" max="9" width="7.6640625" style="2" customWidth="1"/>
    <col min="10" max="10" width="10.77734375" style="2" customWidth="1"/>
    <col min="11" max="11" width="15.21875" style="2" customWidth="1"/>
    <col min="12" max="12" width="15.6640625" style="2" customWidth="1"/>
    <col min="13" max="13" width="10.21875" style="2" customWidth="1"/>
    <col min="14" max="14" width="15.109375" style="2" customWidth="1"/>
    <col min="15" max="15" width="17.5546875" style="2" customWidth="1"/>
    <col min="16" max="16" width="17.88671875" style="2" customWidth="1"/>
    <col min="17" max="17" width="11.21875" style="2" customWidth="1"/>
    <col min="18" max="18" width="16.88671875" style="3" customWidth="1"/>
    <col min="19" max="19" width="14.6640625" style="3" customWidth="1"/>
    <col min="20" max="20" width="16.5546875" style="3" customWidth="1"/>
    <col min="21" max="21" width="31.33203125" style="3" customWidth="1"/>
    <col min="22" max="22" width="22.33203125" style="2" customWidth="1"/>
    <col min="23" max="23" width="18.109375" style="2" customWidth="1"/>
    <col min="24" max="24" width="10.88671875" style="2" hidden="1" customWidth="1"/>
    <col min="25" max="25" width="9.44140625" style="2" hidden="1" customWidth="1"/>
    <col min="26" max="26" width="24.44140625" style="2" customWidth="1"/>
    <col min="27" max="27" width="31.5546875" style="2" customWidth="1"/>
    <col min="28" max="16384" width="9.109375" style="2"/>
  </cols>
  <sheetData>
    <row r="1" spans="1:158" ht="31.8" customHeight="1" x14ac:dyDescent="0.3"/>
    <row r="2" spans="1:158" ht="31.8" customHeight="1" x14ac:dyDescent="0.3">
      <c r="A2" s="175" t="s">
        <v>74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158" ht="31.8" customHeight="1" x14ac:dyDescent="0.3">
      <c r="A3" s="175" t="s">
        <v>67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</row>
    <row r="4" spans="1:158" ht="33" customHeight="1" thickBot="1" x14ac:dyDescent="0.35"/>
    <row r="5" spans="1:158" s="1" customFormat="1" ht="55.8" customHeight="1" x14ac:dyDescent="0.4">
      <c r="A5" s="10" t="s">
        <v>36</v>
      </c>
      <c r="B5" s="11"/>
      <c r="C5" s="12"/>
      <c r="D5" s="12"/>
      <c r="E5" s="12"/>
      <c r="F5" s="12"/>
      <c r="G5" s="187" t="s">
        <v>42</v>
      </c>
      <c r="H5" s="188"/>
      <c r="I5" s="188"/>
      <c r="J5" s="188"/>
      <c r="K5" s="188"/>
      <c r="L5" s="188"/>
      <c r="M5" s="189"/>
      <c r="N5" s="204" t="s">
        <v>33</v>
      </c>
      <c r="O5" s="205"/>
      <c r="P5" s="205"/>
      <c r="Q5" s="205"/>
      <c r="R5" s="205"/>
      <c r="S5" s="205"/>
      <c r="T5" s="205"/>
      <c r="U5" s="206"/>
      <c r="V5" s="12"/>
      <c r="W5" s="13"/>
      <c r="X5" s="12"/>
      <c r="Y5" s="12"/>
      <c r="Z5" s="14"/>
      <c r="AA5" s="15" t="s">
        <v>54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s="1" customFormat="1" ht="39.6" customHeight="1" x14ac:dyDescent="0.3">
      <c r="A6" s="16" t="s">
        <v>37</v>
      </c>
      <c r="B6" s="17"/>
      <c r="C6" s="18"/>
      <c r="D6" s="18"/>
      <c r="E6" s="18"/>
      <c r="F6" s="18"/>
      <c r="G6" s="213" t="s">
        <v>43</v>
      </c>
      <c r="H6" s="214"/>
      <c r="I6" s="214"/>
      <c r="J6" s="214"/>
      <c r="K6" s="215"/>
      <c r="L6" s="148" t="s">
        <v>31</v>
      </c>
      <c r="M6" s="149"/>
      <c r="N6" s="207" t="s">
        <v>46</v>
      </c>
      <c r="O6" s="208"/>
      <c r="P6" s="209"/>
      <c r="Q6" s="148" t="s">
        <v>48</v>
      </c>
      <c r="R6" s="202"/>
      <c r="S6" s="202"/>
      <c r="T6" s="202"/>
      <c r="U6" s="149"/>
      <c r="V6" s="18"/>
      <c r="W6" s="18"/>
      <c r="X6" s="18"/>
      <c r="Y6" s="18"/>
      <c r="Z6" s="19"/>
      <c r="AA6" s="176" t="s">
        <v>75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</row>
    <row r="7" spans="1:158" s="1" customFormat="1" ht="30" customHeight="1" x14ac:dyDescent="0.3">
      <c r="A7" s="16" t="s">
        <v>39</v>
      </c>
      <c r="B7" s="17"/>
      <c r="C7" s="18"/>
      <c r="D7" s="18"/>
      <c r="E7" s="18"/>
      <c r="F7" s="18"/>
      <c r="G7" s="216"/>
      <c r="H7" s="217"/>
      <c r="I7" s="217"/>
      <c r="J7" s="217"/>
      <c r="K7" s="218"/>
      <c r="L7" s="150"/>
      <c r="M7" s="151"/>
      <c r="N7" s="210"/>
      <c r="O7" s="211"/>
      <c r="P7" s="212"/>
      <c r="Q7" s="150"/>
      <c r="R7" s="203"/>
      <c r="S7" s="203"/>
      <c r="T7" s="203"/>
      <c r="U7" s="151"/>
      <c r="V7" s="18"/>
      <c r="W7" s="18"/>
      <c r="X7" s="18"/>
      <c r="Y7" s="18"/>
      <c r="Z7" s="19"/>
      <c r="AA7" s="177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</row>
    <row r="8" spans="1:158" ht="35.4" customHeight="1" x14ac:dyDescent="0.45">
      <c r="A8" s="20" t="s">
        <v>38</v>
      </c>
      <c r="B8" s="21"/>
      <c r="C8" s="21"/>
      <c r="D8" s="22"/>
      <c r="E8" s="22"/>
      <c r="F8" s="22"/>
      <c r="G8" s="152" t="s">
        <v>44</v>
      </c>
      <c r="H8" s="23" t="s">
        <v>21</v>
      </c>
      <c r="I8" s="24" t="s">
        <v>45</v>
      </c>
      <c r="J8" s="22"/>
      <c r="K8" s="25">
        <v>630</v>
      </c>
      <c r="L8" s="24" t="s">
        <v>21</v>
      </c>
      <c r="M8" s="26">
        <v>2.5000000000000001E-2</v>
      </c>
      <c r="N8" s="154" t="s">
        <v>35</v>
      </c>
      <c r="O8" s="155"/>
      <c r="P8" s="27">
        <v>0.5</v>
      </c>
      <c r="Q8" s="190" t="s">
        <v>69</v>
      </c>
      <c r="R8" s="191"/>
      <c r="S8" s="191"/>
      <c r="T8" s="191"/>
      <c r="U8" s="192"/>
      <c r="V8" s="181" t="s">
        <v>58</v>
      </c>
      <c r="W8" s="182"/>
      <c r="X8" s="28"/>
      <c r="Y8" s="22"/>
      <c r="Z8" s="185">
        <f>+V21-V20</f>
        <v>44</v>
      </c>
      <c r="AA8" s="177"/>
    </row>
    <row r="9" spans="1:158" ht="69.599999999999994" customHeight="1" x14ac:dyDescent="0.45">
      <c r="A9" s="29"/>
      <c r="B9" s="22"/>
      <c r="C9" s="22"/>
      <c r="D9" s="22"/>
      <c r="E9" s="22"/>
      <c r="F9" s="22"/>
      <c r="G9" s="153"/>
      <c r="H9" s="30" t="s">
        <v>23</v>
      </c>
      <c r="I9" s="31" t="s">
        <v>66</v>
      </c>
      <c r="J9" s="32"/>
      <c r="K9" s="33">
        <v>700</v>
      </c>
      <c r="L9" s="34" t="s">
        <v>32</v>
      </c>
      <c r="M9" s="35">
        <v>0.1</v>
      </c>
      <c r="N9" s="219" t="s">
        <v>34</v>
      </c>
      <c r="O9" s="220"/>
      <c r="P9" s="36">
        <v>1.8</v>
      </c>
      <c r="Q9" s="193"/>
      <c r="R9" s="194"/>
      <c r="S9" s="194"/>
      <c r="T9" s="194"/>
      <c r="U9" s="195"/>
      <c r="V9" s="183"/>
      <c r="W9" s="184"/>
      <c r="X9" s="28"/>
      <c r="Y9" s="22"/>
      <c r="Z9" s="186"/>
      <c r="AA9" s="178"/>
    </row>
    <row r="10" spans="1:158" ht="27" customHeight="1" x14ac:dyDescent="0.45">
      <c r="A10" s="2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96" t="s">
        <v>70</v>
      </c>
      <c r="R10" s="197"/>
      <c r="S10" s="197"/>
      <c r="T10" s="197"/>
      <c r="U10" s="198"/>
      <c r="V10" s="181" t="s">
        <v>59</v>
      </c>
      <c r="W10" s="182"/>
      <c r="X10" s="28"/>
      <c r="Y10" s="22"/>
      <c r="Z10" s="185">
        <f>+Z8+Q18+V23</f>
        <v>52.034281180385626</v>
      </c>
      <c r="AA10" s="37">
        <v>2.2000000000000002</v>
      </c>
    </row>
    <row r="11" spans="1:158" ht="71.400000000000006" customHeight="1" x14ac:dyDescent="0.45">
      <c r="A11" s="29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99"/>
      <c r="R11" s="200"/>
      <c r="S11" s="200"/>
      <c r="T11" s="200"/>
      <c r="U11" s="201"/>
      <c r="V11" s="183"/>
      <c r="W11" s="184"/>
      <c r="X11" s="28"/>
      <c r="Y11" s="22"/>
      <c r="Z11" s="186"/>
      <c r="AA11" s="38"/>
    </row>
    <row r="12" spans="1:158" s="4" customFormat="1" ht="36.6" customHeight="1" thickBot="1" x14ac:dyDescent="0.4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179" t="s">
        <v>49</v>
      </c>
      <c r="R12" s="180"/>
      <c r="S12" s="180"/>
      <c r="T12" s="180"/>
      <c r="U12" s="41">
        <f>1.301*10^-6</f>
        <v>1.3009999999999999E-6</v>
      </c>
      <c r="V12" s="40"/>
      <c r="W12" s="40"/>
      <c r="X12" s="40"/>
      <c r="Y12" s="40"/>
      <c r="Z12" s="42"/>
      <c r="AA12" s="43"/>
    </row>
    <row r="13" spans="1:158" ht="38.4" customHeight="1" x14ac:dyDescent="0.4">
      <c r="A13" s="235" t="s">
        <v>3</v>
      </c>
      <c r="B13" s="237" t="s">
        <v>0</v>
      </c>
      <c r="C13" s="239" t="s">
        <v>30</v>
      </c>
      <c r="D13" s="239" t="s">
        <v>29</v>
      </c>
      <c r="E13" s="237" t="s">
        <v>1</v>
      </c>
      <c r="F13" s="237" t="s">
        <v>2</v>
      </c>
      <c r="G13" s="238" t="s">
        <v>3</v>
      </c>
      <c r="H13" s="238"/>
      <c r="I13" s="238"/>
      <c r="J13" s="238"/>
      <c r="K13" s="238"/>
      <c r="L13" s="238"/>
      <c r="M13" s="238"/>
      <c r="N13" s="170" t="s">
        <v>4</v>
      </c>
      <c r="O13" s="170"/>
      <c r="P13" s="170"/>
      <c r="Q13" s="170"/>
      <c r="R13" s="166" t="s">
        <v>55</v>
      </c>
      <c r="S13" s="167"/>
      <c r="T13" s="166" t="s">
        <v>5</v>
      </c>
      <c r="U13" s="167"/>
      <c r="V13" s="173" t="s">
        <v>6</v>
      </c>
      <c r="W13" s="174"/>
      <c r="X13" s="44"/>
      <c r="Y13" s="44"/>
      <c r="Z13" s="161" t="s">
        <v>57</v>
      </c>
      <c r="AA13" s="156" t="s">
        <v>56</v>
      </c>
    </row>
    <row r="14" spans="1:158" ht="43.2" customHeight="1" x14ac:dyDescent="0.3">
      <c r="A14" s="236"/>
      <c r="B14" s="164"/>
      <c r="C14" s="240"/>
      <c r="D14" s="240"/>
      <c r="E14" s="164"/>
      <c r="F14" s="164"/>
      <c r="G14" s="242" t="s">
        <v>7</v>
      </c>
      <c r="H14" s="164" t="s">
        <v>8</v>
      </c>
      <c r="I14" s="242" t="s">
        <v>47</v>
      </c>
      <c r="J14" s="164" t="s">
        <v>9</v>
      </c>
      <c r="K14" s="164" t="s">
        <v>10</v>
      </c>
      <c r="L14" s="164" t="s">
        <v>11</v>
      </c>
      <c r="M14" s="164" t="s">
        <v>12</v>
      </c>
      <c r="N14" s="164" t="s">
        <v>13</v>
      </c>
      <c r="O14" s="244" t="s">
        <v>14</v>
      </c>
      <c r="P14" s="165" t="s">
        <v>15</v>
      </c>
      <c r="Q14" s="165"/>
      <c r="R14" s="168"/>
      <c r="S14" s="169"/>
      <c r="T14" s="168"/>
      <c r="U14" s="169"/>
      <c r="V14" s="159" t="s">
        <v>26</v>
      </c>
      <c r="W14" s="160"/>
      <c r="X14" s="171"/>
      <c r="Y14" s="172"/>
      <c r="Z14" s="162"/>
      <c r="AA14" s="157"/>
    </row>
    <row r="15" spans="1:158" ht="54" customHeight="1" x14ac:dyDescent="0.3">
      <c r="A15" s="236"/>
      <c r="B15" s="164"/>
      <c r="C15" s="241"/>
      <c r="D15" s="241"/>
      <c r="E15" s="164"/>
      <c r="F15" s="164"/>
      <c r="G15" s="243"/>
      <c r="H15" s="164"/>
      <c r="I15" s="241"/>
      <c r="J15" s="164"/>
      <c r="K15" s="164"/>
      <c r="L15" s="164"/>
      <c r="M15" s="164"/>
      <c r="N15" s="164"/>
      <c r="O15" s="245"/>
      <c r="P15" s="45" t="s">
        <v>16</v>
      </c>
      <c r="Q15" s="45" t="s">
        <v>17</v>
      </c>
      <c r="R15" s="47" t="s">
        <v>27</v>
      </c>
      <c r="S15" s="47" t="s">
        <v>28</v>
      </c>
      <c r="T15" s="47" t="s">
        <v>27</v>
      </c>
      <c r="U15" s="47" t="s">
        <v>28</v>
      </c>
      <c r="V15" s="47" t="s">
        <v>27</v>
      </c>
      <c r="W15" s="46" t="s">
        <v>28</v>
      </c>
      <c r="X15" s="46"/>
      <c r="Y15" s="48"/>
      <c r="Z15" s="163"/>
      <c r="AA15" s="158"/>
    </row>
    <row r="16" spans="1:158" ht="22.8" x14ac:dyDescent="0.4">
      <c r="A16" s="49" t="s">
        <v>50</v>
      </c>
      <c r="B16" s="50">
        <v>1</v>
      </c>
      <c r="C16" s="51" t="s">
        <v>51</v>
      </c>
      <c r="D16" s="51" t="s">
        <v>40</v>
      </c>
      <c r="E16" s="52">
        <v>950</v>
      </c>
      <c r="F16" s="53">
        <v>1000</v>
      </c>
      <c r="G16" s="54" t="str">
        <f>IF(J16&lt;=$K$8,"PEAD",IF(J16&gt;=$K$9,"BETÃO",""))</f>
        <v>BETÃO</v>
      </c>
      <c r="H16" s="54">
        <f>IF(Y16&lt;60,6.3,IF(Y16&lt;80,8,IF(Y16&lt;100,10,IF(Y16&lt;125,12.5,IF(Y16&lt;170,16)))))</f>
        <v>6.3</v>
      </c>
      <c r="I16" s="50">
        <f>HLOOKUP(H16,Tabela_Tubagem!$T$5:$AB$6,2,FALSE)</f>
        <v>3</v>
      </c>
      <c r="J16" s="55">
        <v>1000</v>
      </c>
      <c r="K16" s="56">
        <f>VLOOKUP(J16,Tabela_Tubagem!$T$9:$AB$41,I16,FALSE)</f>
        <v>1000</v>
      </c>
      <c r="L16" s="57">
        <f t="shared" ref="L16" si="0">K16/1000</f>
        <v>1</v>
      </c>
      <c r="M16" s="57">
        <f>IF(G16="PEAD",$M$8,IF(G16="BETÃO",$M$9,""))</f>
        <v>0.1</v>
      </c>
      <c r="N16" s="58">
        <f t="shared" ref="N16" si="1">(F16/1000)/(PI()*L16^2/4)</f>
        <v>1.2732395447351628</v>
      </c>
      <c r="O16" s="59">
        <f>N16^2/((LOG(((M16/1000)/(3.7*L16))+(5.13*($U$12/(N16*L16))^0.89)))^2*8*9.81*L16)</f>
        <v>1.1208160773474524E-3</v>
      </c>
      <c r="P16" s="57">
        <f t="shared" ref="P16" si="2">E16*O16*1.1</f>
        <v>1.1712528008280878</v>
      </c>
      <c r="Q16" s="57">
        <f t="shared" ref="Q16" si="3">+P16</f>
        <v>1.1712528008280878</v>
      </c>
      <c r="R16" s="60">
        <v>70</v>
      </c>
      <c r="S16" s="60">
        <v>80</v>
      </c>
      <c r="T16" s="60">
        <f>+V20+Z10-V23</f>
        <v>106.03428118038562</v>
      </c>
      <c r="U16" s="61">
        <f>+T16-Q16</f>
        <v>104.86302837955753</v>
      </c>
      <c r="V16" s="61">
        <f>+T16-R16</f>
        <v>36.034281180385619</v>
      </c>
      <c r="W16" s="61">
        <f>+U16-S16</f>
        <v>24.863028379557534</v>
      </c>
      <c r="X16" s="61"/>
      <c r="Y16" s="61"/>
      <c r="Z16" s="62">
        <f>VLOOKUP(J16,Tabela_Tubagem!$T$50:$AB$82,I16,FALSE)*E16</f>
        <v>273125</v>
      </c>
      <c r="AA16" s="63">
        <f>+Z16*$AA$10</f>
        <v>600875</v>
      </c>
    </row>
    <row r="17" spans="1:27" ht="22.8" x14ac:dyDescent="0.4">
      <c r="A17" s="49" t="s">
        <v>50</v>
      </c>
      <c r="B17" s="50">
        <f>+B16+1</f>
        <v>2</v>
      </c>
      <c r="C17" s="64" t="str">
        <f>+D16</f>
        <v>N01</v>
      </c>
      <c r="D17" s="51" t="s">
        <v>41</v>
      </c>
      <c r="E17" s="52">
        <v>500</v>
      </c>
      <c r="F17" s="53">
        <v>1000</v>
      </c>
      <c r="G17" s="54" t="str">
        <f>IF(J17&lt;=$K$8,"PEAD",IF(J17&gt;=$K$9,"BETÃO",""))</f>
        <v>BETÃO</v>
      </c>
      <c r="H17" s="54">
        <f>IF(Y17&lt;60,6.3,IF(Y17&lt;80,8,IF(Y17&lt;100,10,IF(Y17&lt;125,12.5,IF(Y17&lt;170,16)))))</f>
        <v>6.3</v>
      </c>
      <c r="I17" s="50">
        <f>HLOOKUP(H17,Tabela_Tubagem!$T$5:$AB$6,2,FALSE)</f>
        <v>3</v>
      </c>
      <c r="J17" s="55">
        <v>1000</v>
      </c>
      <c r="K17" s="56">
        <f>VLOOKUP(J17,Tabela_Tubagem!$T$9:$AB$41,I17,FALSE)</f>
        <v>1000</v>
      </c>
      <c r="L17" s="57">
        <f t="shared" ref="L17" si="4">K17/1000</f>
        <v>1</v>
      </c>
      <c r="M17" s="57">
        <f t="shared" ref="M17:M18" si="5">IF(G17="PEAD",$M$8,IF(G17="BETÃO",$M$9,""))</f>
        <v>0.1</v>
      </c>
      <c r="N17" s="58">
        <f t="shared" ref="N17" si="6">(F17/1000)/(PI()*L17^2/4)</f>
        <v>1.2732395447351628</v>
      </c>
      <c r="O17" s="59">
        <f>N17^2/((LOG(((M17/1000)/(3.7*L17))+(5.13*($U$12/(N17*L17))^0.89)))^2*8*9.81*L17)</f>
        <v>1.1208160773474524E-3</v>
      </c>
      <c r="P17" s="57">
        <f t="shared" ref="P17" si="7">E17*O17*1.1</f>
        <v>0.61644884254109888</v>
      </c>
      <c r="Q17" s="57">
        <f>+Q16+P17</f>
        <v>1.7877016433691866</v>
      </c>
      <c r="R17" s="60">
        <f>+S16</f>
        <v>80</v>
      </c>
      <c r="S17" s="60">
        <v>90</v>
      </c>
      <c r="T17" s="61">
        <f>+VLOOKUP(C17,$D$16:$U$18,18,FALSE)</f>
        <v>104.86302837955753</v>
      </c>
      <c r="U17" s="61">
        <f>+T17-P17</f>
        <v>104.24657953701643</v>
      </c>
      <c r="V17" s="61">
        <f t="shared" ref="V17:V18" si="8">+T17-R17</f>
        <v>24.863028379557534</v>
      </c>
      <c r="W17" s="61">
        <f t="shared" ref="W17:W18" si="9">+U17-S17</f>
        <v>14.24657953701643</v>
      </c>
      <c r="X17" s="61"/>
      <c r="Y17" s="61"/>
      <c r="Z17" s="62">
        <f>VLOOKUP(J17,Tabela_Tubagem!$T$50:$AB$82,I17,FALSE)*E17</f>
        <v>143750</v>
      </c>
      <c r="AA17" s="63">
        <f>+Z17*$AA$10</f>
        <v>316250</v>
      </c>
    </row>
    <row r="18" spans="1:27" ht="23.4" thickBot="1" x14ac:dyDescent="0.45">
      <c r="A18" s="65" t="s">
        <v>50</v>
      </c>
      <c r="B18" s="66">
        <f>+B17+1</f>
        <v>3</v>
      </c>
      <c r="C18" s="67" t="str">
        <f>+D17</f>
        <v>N02</v>
      </c>
      <c r="D18" s="68" t="s">
        <v>52</v>
      </c>
      <c r="E18" s="69">
        <v>200</v>
      </c>
      <c r="F18" s="70">
        <v>1000</v>
      </c>
      <c r="G18" s="71" t="str">
        <f>IF(J18&lt;=$K$8,"PEAD",IF(J18&gt;=$K$9,"BETÃO",""))</f>
        <v>BETÃO</v>
      </c>
      <c r="H18" s="71">
        <f>IF(Y18&lt;60,6.3,IF(Y18&lt;80,8,IF(Y18&lt;100,10,IF(Y18&lt;125,12.5,IF(Y18&lt;170,16)))))</f>
        <v>6.3</v>
      </c>
      <c r="I18" s="66">
        <f>HLOOKUP(H18,Tabela_Tubagem!$T$5:$AB$6,2,FALSE)</f>
        <v>3</v>
      </c>
      <c r="J18" s="72">
        <v>1000</v>
      </c>
      <c r="K18" s="73">
        <f>VLOOKUP(J18,Tabela_Tubagem!$T$9:$AB$41,I18,FALSE)</f>
        <v>1000</v>
      </c>
      <c r="L18" s="74">
        <f t="shared" ref="L18" si="10">K18/1000</f>
        <v>1</v>
      </c>
      <c r="M18" s="74">
        <f t="shared" si="5"/>
        <v>0.1</v>
      </c>
      <c r="N18" s="75">
        <f t="shared" ref="N18" si="11">(F18/1000)/(PI()*L18^2/4)</f>
        <v>1.2732395447351628</v>
      </c>
      <c r="O18" s="76">
        <f>N18^2/((LOG(((M18/1000)/(3.7*L18))+(5.13*($U$12/(N18*L18))^0.89)))^2*8*9.81*L18)</f>
        <v>1.1208160773474524E-3</v>
      </c>
      <c r="P18" s="74">
        <f t="shared" ref="P18" si="12">E18*O18*1.1</f>
        <v>0.24657953701643953</v>
      </c>
      <c r="Q18" s="74">
        <f>+Q17+P18</f>
        <v>2.034281180385626</v>
      </c>
      <c r="R18" s="77">
        <f>+S17</f>
        <v>90</v>
      </c>
      <c r="S18" s="77">
        <v>100</v>
      </c>
      <c r="T18" s="78">
        <f>+VLOOKUP(C18,$D$16:$U$18,18,FALSE)</f>
        <v>104.24657953701643</v>
      </c>
      <c r="U18" s="79">
        <f>+T18-P18</f>
        <v>103.99999999999999</v>
      </c>
      <c r="V18" s="78">
        <f t="shared" si="8"/>
        <v>14.24657953701643</v>
      </c>
      <c r="W18" s="78">
        <f t="shared" si="9"/>
        <v>3.9999999999999858</v>
      </c>
      <c r="X18" s="78"/>
      <c r="Y18" s="78"/>
      <c r="Z18" s="80">
        <f>VLOOKUP(J18,Tabela_Tubagem!$T$50:$AB$82,I18,FALSE)*E18</f>
        <v>57500</v>
      </c>
      <c r="AA18" s="81">
        <f>+Z18*$AA$10</f>
        <v>126500.00000000001</v>
      </c>
    </row>
    <row r="19" spans="1:27" ht="42" customHeight="1" thickBo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29" t="s">
        <v>65</v>
      </c>
      <c r="N19" s="230"/>
      <c r="O19" s="231"/>
      <c r="P19" s="82" t="s">
        <v>61</v>
      </c>
      <c r="Q19" s="83"/>
      <c r="R19" s="84"/>
      <c r="S19" s="84"/>
      <c r="T19" s="84"/>
      <c r="U19" s="85"/>
      <c r="V19" s="86">
        <v>70</v>
      </c>
      <c r="W19" s="28"/>
      <c r="X19" s="28"/>
      <c r="Y19" s="28"/>
      <c r="Z19" s="263">
        <f>SUM(Z16:Z18)</f>
        <v>474375</v>
      </c>
      <c r="AA19" s="264">
        <f>SUM(AA16:AA18)</f>
        <v>1043625</v>
      </c>
    </row>
    <row r="20" spans="1:27" ht="37.200000000000003" customHeight="1" x14ac:dyDescent="0.45">
      <c r="A20" s="87"/>
      <c r="B20" s="87"/>
      <c r="C20" s="87"/>
      <c r="D20" s="87"/>
      <c r="E20" s="88"/>
      <c r="F20" s="89"/>
      <c r="G20" s="89"/>
      <c r="H20" s="89"/>
      <c r="I20" s="87"/>
      <c r="J20" s="87"/>
      <c r="K20" s="87"/>
      <c r="L20" s="87"/>
      <c r="M20" s="229"/>
      <c r="N20" s="230"/>
      <c r="O20" s="231"/>
      <c r="P20" s="82" t="s">
        <v>62</v>
      </c>
      <c r="Q20" s="90"/>
      <c r="R20" s="91"/>
      <c r="S20" s="91"/>
      <c r="T20" s="91"/>
      <c r="U20" s="85"/>
      <c r="V20" s="86">
        <v>60</v>
      </c>
      <c r="W20" s="88"/>
      <c r="X20" s="88"/>
      <c r="Y20" s="92"/>
      <c r="Z20" s="93"/>
      <c r="AA20" s="93"/>
    </row>
    <row r="21" spans="1:27" ht="40.200000000000003" customHeight="1" x14ac:dyDescent="0.45">
      <c r="A21" s="87"/>
      <c r="B21" s="87"/>
      <c r="C21" s="87"/>
      <c r="D21" s="87"/>
      <c r="E21" s="88"/>
      <c r="F21" s="89"/>
      <c r="G21" s="89"/>
      <c r="H21" s="89"/>
      <c r="I21" s="87"/>
      <c r="J21" s="87"/>
      <c r="K21" s="87"/>
      <c r="L21" s="87"/>
      <c r="M21" s="229"/>
      <c r="N21" s="230"/>
      <c r="O21" s="231"/>
      <c r="P21" s="82" t="s">
        <v>63</v>
      </c>
      <c r="Q21" s="90"/>
      <c r="R21" s="91"/>
      <c r="S21" s="91"/>
      <c r="T21" s="91"/>
      <c r="U21" s="85"/>
      <c r="V21" s="86">
        <v>104</v>
      </c>
      <c r="W21" s="88"/>
      <c r="X21" s="88"/>
      <c r="Y21" s="92"/>
      <c r="Z21" s="93"/>
      <c r="AA21" s="93"/>
    </row>
    <row r="22" spans="1:27" ht="43.2" customHeight="1" x14ac:dyDescent="0.45">
      <c r="A22" s="28"/>
      <c r="B22" s="28"/>
      <c r="C22" s="28"/>
      <c r="D22" s="28"/>
      <c r="E22" s="28"/>
      <c r="F22" s="28"/>
      <c r="G22" s="28"/>
      <c r="H22" s="28"/>
      <c r="I22" s="28"/>
      <c r="J22" s="87"/>
      <c r="K22" s="87"/>
      <c r="L22" s="87"/>
      <c r="M22" s="229"/>
      <c r="N22" s="230"/>
      <c r="O22" s="231"/>
      <c r="P22" s="94" t="s">
        <v>64</v>
      </c>
      <c r="Q22" s="95"/>
      <c r="R22" s="96"/>
      <c r="S22" s="96"/>
      <c r="T22" s="96"/>
      <c r="U22" s="97"/>
      <c r="V22" s="98">
        <v>100</v>
      </c>
      <c r="W22" s="28"/>
      <c r="X22" s="28"/>
      <c r="Y22" s="28"/>
      <c r="Z22" s="28"/>
      <c r="AA22" s="28"/>
    </row>
    <row r="23" spans="1:27" ht="25.8" customHeight="1" x14ac:dyDescent="0.45">
      <c r="A23" s="28"/>
      <c r="B23" s="28"/>
      <c r="C23" s="28"/>
      <c r="D23" s="28"/>
      <c r="E23" s="28"/>
      <c r="F23" s="89"/>
      <c r="G23" s="28"/>
      <c r="H23" s="28"/>
      <c r="I23" s="28"/>
      <c r="J23" s="28"/>
      <c r="K23" s="28"/>
      <c r="L23" s="28"/>
      <c r="M23" s="229"/>
      <c r="N23" s="230"/>
      <c r="O23" s="231"/>
      <c r="P23" s="221" t="s">
        <v>60</v>
      </c>
      <c r="Q23" s="222"/>
      <c r="R23" s="222"/>
      <c r="S23" s="222"/>
      <c r="T23" s="222"/>
      <c r="U23" s="223"/>
      <c r="V23" s="227">
        <v>6</v>
      </c>
      <c r="W23" s="28"/>
      <c r="X23" s="28"/>
      <c r="Y23" s="28"/>
      <c r="Z23" s="28"/>
      <c r="AA23" s="28"/>
    </row>
    <row r="24" spans="1:27" ht="41.4" customHeight="1" thickBot="1" x14ac:dyDescent="0.5">
      <c r="A24" s="28"/>
      <c r="B24" s="28"/>
      <c r="C24" s="28"/>
      <c r="D24" s="28"/>
      <c r="E24" s="28"/>
      <c r="F24" s="89"/>
      <c r="G24" s="28"/>
      <c r="H24" s="28"/>
      <c r="I24" s="28"/>
      <c r="J24" s="28"/>
      <c r="K24" s="28"/>
      <c r="L24" s="28"/>
      <c r="M24" s="232"/>
      <c r="N24" s="233"/>
      <c r="O24" s="234"/>
      <c r="P24" s="224"/>
      <c r="Q24" s="225"/>
      <c r="R24" s="225"/>
      <c r="S24" s="225"/>
      <c r="T24" s="225"/>
      <c r="U24" s="226"/>
      <c r="V24" s="228"/>
      <c r="W24" s="28"/>
      <c r="X24" s="28"/>
      <c r="Y24" s="28"/>
      <c r="Z24" s="28"/>
      <c r="AA24" s="28"/>
    </row>
    <row r="25" spans="1:27" x14ac:dyDescent="0.3">
      <c r="F25" s="5"/>
    </row>
    <row r="26" spans="1:27" x14ac:dyDescent="0.3">
      <c r="F26" s="5"/>
    </row>
    <row r="27" spans="1:27" x14ac:dyDescent="0.3">
      <c r="F27" s="5"/>
    </row>
    <row r="28" spans="1:27" x14ac:dyDescent="0.3">
      <c r="F28" s="5"/>
    </row>
    <row r="29" spans="1:27" x14ac:dyDescent="0.3">
      <c r="F29" s="5"/>
    </row>
    <row r="30" spans="1:27" x14ac:dyDescent="0.3">
      <c r="F30" s="5"/>
    </row>
    <row r="31" spans="1:27" x14ac:dyDescent="0.3">
      <c r="F31" s="5"/>
    </row>
    <row r="32" spans="1:27" x14ac:dyDescent="0.3">
      <c r="F32" s="5"/>
    </row>
    <row r="33" spans="6:6" x14ac:dyDescent="0.3">
      <c r="F33" s="5"/>
    </row>
    <row r="34" spans="6:6" x14ac:dyDescent="0.3">
      <c r="F34" s="5"/>
    </row>
    <row r="35" spans="6:6" x14ac:dyDescent="0.3">
      <c r="F35" s="5"/>
    </row>
    <row r="36" spans="6:6" x14ac:dyDescent="0.3">
      <c r="F36" s="5"/>
    </row>
    <row r="37" spans="6:6" x14ac:dyDescent="0.3">
      <c r="F37" s="5"/>
    </row>
    <row r="38" spans="6:6" x14ac:dyDescent="0.3">
      <c r="F38" s="5"/>
    </row>
    <row r="39" spans="6:6" x14ac:dyDescent="0.3">
      <c r="F39" s="5"/>
    </row>
    <row r="40" spans="6:6" x14ac:dyDescent="0.3">
      <c r="F40" s="5"/>
    </row>
    <row r="41" spans="6:6" x14ac:dyDescent="0.3">
      <c r="F41" s="5"/>
    </row>
  </sheetData>
  <dataConsolidate/>
  <mergeCells count="47">
    <mergeCell ref="P23:U24"/>
    <mergeCell ref="V23:V24"/>
    <mergeCell ref="M19:O24"/>
    <mergeCell ref="A13:A15"/>
    <mergeCell ref="B13:B15"/>
    <mergeCell ref="E13:E15"/>
    <mergeCell ref="G13:M13"/>
    <mergeCell ref="F13:F15"/>
    <mergeCell ref="D13:D15"/>
    <mergeCell ref="G14:G15"/>
    <mergeCell ref="J14:J15"/>
    <mergeCell ref="H14:H15"/>
    <mergeCell ref="K14:K15"/>
    <mergeCell ref="C13:C15"/>
    <mergeCell ref="I14:I15"/>
    <mergeCell ref="O14:O15"/>
    <mergeCell ref="A2:AA2"/>
    <mergeCell ref="A3:AA3"/>
    <mergeCell ref="AA6:AA9"/>
    <mergeCell ref="Q12:T12"/>
    <mergeCell ref="V8:W9"/>
    <mergeCell ref="Z8:Z9"/>
    <mergeCell ref="G5:M5"/>
    <mergeCell ref="Q8:U9"/>
    <mergeCell ref="Q10:U11"/>
    <mergeCell ref="Q6:U7"/>
    <mergeCell ref="N5:U5"/>
    <mergeCell ref="N6:P7"/>
    <mergeCell ref="G6:K7"/>
    <mergeCell ref="Z10:Z11"/>
    <mergeCell ref="N9:O9"/>
    <mergeCell ref="V10:W11"/>
    <mergeCell ref="L6:M7"/>
    <mergeCell ref="G8:G9"/>
    <mergeCell ref="N8:O8"/>
    <mergeCell ref="AA13:AA15"/>
    <mergeCell ref="V14:W14"/>
    <mergeCell ref="Z13:Z15"/>
    <mergeCell ref="L14:L15"/>
    <mergeCell ref="M14:M15"/>
    <mergeCell ref="P14:Q14"/>
    <mergeCell ref="R13:S14"/>
    <mergeCell ref="T13:U14"/>
    <mergeCell ref="N13:Q13"/>
    <mergeCell ref="X14:Y14"/>
    <mergeCell ref="V13:W13"/>
    <mergeCell ref="N14:N15"/>
  </mergeCells>
  <phoneticPr fontId="1" type="noConversion"/>
  <conditionalFormatting sqref="N16:N18">
    <cfRule type="cellIs" dxfId="3" priority="1" stopIfTrue="1" operator="lessThanOrEqual">
      <formula>$P$8</formula>
    </cfRule>
    <cfRule type="cellIs" dxfId="2" priority="2" stopIfTrue="1" operator="greaterThanOrEqual">
      <formula>$P$9</formula>
    </cfRule>
  </conditionalFormatting>
  <dataValidations disablePrompts="1" count="1">
    <dataValidation type="list" allowBlank="1" showInputMessage="1" showErrorMessage="1" sqref="J16:J18" xr:uid="{00000000-0002-0000-0000-000000000000}">
      <formula1>DN</formula1>
    </dataValidation>
  </dataValidations>
  <pageMargins left="0.75" right="0.75" top="1" bottom="1" header="0.5" footer="0.5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21</xdr:col>
                <xdr:colOff>60960</xdr:colOff>
                <xdr:row>4</xdr:row>
                <xdr:rowOff>312420</xdr:rowOff>
              </from>
              <to>
                <xdr:col>25</xdr:col>
                <xdr:colOff>1325880</xdr:colOff>
                <xdr:row>6</xdr:row>
                <xdr:rowOff>167640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73AC-E392-4112-B508-082B89E86CAD}">
  <sheetPr>
    <tabColor indexed="47"/>
    <pageSetUpPr fitToPage="1"/>
  </sheetPr>
  <dimension ref="A2:FB41"/>
  <sheetViews>
    <sheetView showGridLines="0" topLeftCell="D1" zoomScale="55" zoomScaleNormal="55" zoomScaleSheetLayoutView="85" workbookViewId="0">
      <pane ySplit="15" topLeftCell="A16" activePane="bottomLeft" state="frozen"/>
      <selection pane="bottomLeft" activeCell="Z19" sqref="Z19:AA19"/>
    </sheetView>
  </sheetViews>
  <sheetFormatPr defaultColWidth="9.109375" defaultRowHeight="14.4" x14ac:dyDescent="0.3"/>
  <cols>
    <col min="1" max="1" width="15.21875" style="2" customWidth="1"/>
    <col min="2" max="2" width="10.88671875" style="2" customWidth="1"/>
    <col min="3" max="3" width="16.88671875" style="2" customWidth="1"/>
    <col min="4" max="4" width="13.44140625" style="2" customWidth="1"/>
    <col min="5" max="5" width="23.88671875" style="2" customWidth="1"/>
    <col min="6" max="6" width="13.6640625" style="2" customWidth="1"/>
    <col min="7" max="7" width="13.77734375" style="2" customWidth="1"/>
    <col min="8" max="8" width="9.109375" style="2" customWidth="1"/>
    <col min="9" max="9" width="16.88671875" style="2" bestFit="1" customWidth="1"/>
    <col min="10" max="10" width="11.5546875" style="2" customWidth="1"/>
    <col min="11" max="11" width="12.5546875" style="2" customWidth="1"/>
    <col min="12" max="12" width="13.44140625" style="2" customWidth="1"/>
    <col min="13" max="13" width="14.88671875" style="2" customWidth="1"/>
    <col min="14" max="14" width="12.5546875" style="2" customWidth="1"/>
    <col min="15" max="15" width="16.33203125" style="2" customWidth="1"/>
    <col min="16" max="16" width="18" style="2" customWidth="1"/>
    <col min="17" max="17" width="13.44140625" style="2" customWidth="1"/>
    <col min="18" max="18" width="12.6640625" style="3" customWidth="1"/>
    <col min="19" max="19" width="15" style="3" customWidth="1"/>
    <col min="20" max="20" width="17.21875" style="3" customWidth="1"/>
    <col min="21" max="21" width="26.6640625" style="3" customWidth="1"/>
    <col min="22" max="22" width="18.21875" style="2" customWidth="1"/>
    <col min="23" max="23" width="14.21875" style="2" customWidth="1"/>
    <col min="24" max="24" width="10.88671875" style="2" hidden="1" customWidth="1"/>
    <col min="25" max="25" width="9.44140625" style="2" hidden="1" customWidth="1"/>
    <col min="26" max="26" width="25.6640625" style="2" customWidth="1"/>
    <col min="27" max="27" width="31.44140625" style="2" customWidth="1"/>
    <col min="28" max="16384" width="9.109375" style="2"/>
  </cols>
  <sheetData>
    <row r="2" spans="1:158" ht="34.200000000000003" customHeight="1" x14ac:dyDescent="0.3">
      <c r="A2" s="175" t="s">
        <v>74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158" ht="34.200000000000003" customHeight="1" x14ac:dyDescent="0.3">
      <c r="A3" s="175" t="s">
        <v>68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</row>
    <row r="5" spans="1:158" s="1" customFormat="1" ht="55.8" customHeight="1" x14ac:dyDescent="0.4">
      <c r="A5" s="17" t="s">
        <v>36</v>
      </c>
      <c r="B5" s="17"/>
      <c r="C5" s="18"/>
      <c r="D5" s="18"/>
      <c r="E5" s="18"/>
      <c r="F5" s="18"/>
      <c r="G5" s="246" t="s">
        <v>42</v>
      </c>
      <c r="H5" s="247"/>
      <c r="I5" s="247"/>
      <c r="J5" s="247"/>
      <c r="K5" s="247"/>
      <c r="L5" s="247"/>
      <c r="M5" s="248"/>
      <c r="N5" s="249" t="s">
        <v>33</v>
      </c>
      <c r="O5" s="250"/>
      <c r="P5" s="250"/>
      <c r="Q5" s="250"/>
      <c r="R5" s="250"/>
      <c r="S5" s="250"/>
      <c r="T5" s="250"/>
      <c r="U5" s="251"/>
      <c r="V5" s="18"/>
      <c r="W5" s="99"/>
      <c r="X5" s="18"/>
      <c r="Y5" s="18"/>
      <c r="Z5" s="19"/>
      <c r="AA5" s="100" t="s">
        <v>54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s="1" customFormat="1" ht="39.6" customHeight="1" x14ac:dyDescent="0.3">
      <c r="A6" s="17" t="s">
        <v>37</v>
      </c>
      <c r="B6" s="17"/>
      <c r="C6" s="18"/>
      <c r="D6" s="18"/>
      <c r="E6" s="18"/>
      <c r="F6" s="18"/>
      <c r="G6" s="213" t="s">
        <v>43</v>
      </c>
      <c r="H6" s="214"/>
      <c r="I6" s="214"/>
      <c r="J6" s="214"/>
      <c r="K6" s="215"/>
      <c r="L6" s="148" t="s">
        <v>31</v>
      </c>
      <c r="M6" s="149"/>
      <c r="N6" s="207" t="s">
        <v>46</v>
      </c>
      <c r="O6" s="208"/>
      <c r="P6" s="209"/>
      <c r="Q6" s="148" t="s">
        <v>48</v>
      </c>
      <c r="R6" s="202"/>
      <c r="S6" s="202"/>
      <c r="T6" s="202"/>
      <c r="U6" s="149"/>
      <c r="V6" s="18"/>
      <c r="W6" s="18"/>
      <c r="X6" s="18"/>
      <c r="Y6" s="18"/>
      <c r="Z6" s="19"/>
      <c r="AA6" s="176" t="s">
        <v>75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</row>
    <row r="7" spans="1:158" s="1" customFormat="1" ht="36" customHeight="1" x14ac:dyDescent="0.3">
      <c r="A7" s="17" t="s">
        <v>39</v>
      </c>
      <c r="B7" s="17"/>
      <c r="C7" s="18"/>
      <c r="D7" s="18"/>
      <c r="E7" s="18"/>
      <c r="F7" s="18"/>
      <c r="G7" s="216"/>
      <c r="H7" s="217"/>
      <c r="I7" s="217"/>
      <c r="J7" s="217"/>
      <c r="K7" s="218"/>
      <c r="L7" s="150"/>
      <c r="M7" s="151"/>
      <c r="N7" s="210"/>
      <c r="O7" s="211"/>
      <c r="P7" s="212"/>
      <c r="Q7" s="150"/>
      <c r="R7" s="203"/>
      <c r="S7" s="203"/>
      <c r="T7" s="203"/>
      <c r="U7" s="151"/>
      <c r="V7" s="18"/>
      <c r="W7" s="18"/>
      <c r="X7" s="18"/>
      <c r="Y7" s="18"/>
      <c r="Z7" s="19"/>
      <c r="AA7" s="177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</row>
    <row r="8" spans="1:158" ht="35.4" customHeight="1" x14ac:dyDescent="0.45">
      <c r="A8" s="21" t="s">
        <v>38</v>
      </c>
      <c r="B8" s="21"/>
      <c r="C8" s="21"/>
      <c r="D8" s="22"/>
      <c r="E8" s="22"/>
      <c r="F8" s="22"/>
      <c r="G8" s="152" t="s">
        <v>44</v>
      </c>
      <c r="H8" s="23" t="s">
        <v>21</v>
      </c>
      <c r="I8" s="24" t="s">
        <v>45</v>
      </c>
      <c r="J8" s="22"/>
      <c r="K8" s="25">
        <v>630</v>
      </c>
      <c r="L8" s="24" t="s">
        <v>21</v>
      </c>
      <c r="M8" s="26">
        <v>2.5000000000000001E-2</v>
      </c>
      <c r="N8" s="154" t="s">
        <v>35</v>
      </c>
      <c r="O8" s="155"/>
      <c r="P8" s="27">
        <v>0.5</v>
      </c>
      <c r="Q8" s="190" t="s">
        <v>69</v>
      </c>
      <c r="R8" s="191"/>
      <c r="S8" s="191"/>
      <c r="T8" s="191"/>
      <c r="U8" s="192"/>
      <c r="V8" s="181" t="s">
        <v>58</v>
      </c>
      <c r="W8" s="182"/>
      <c r="X8" s="28"/>
      <c r="Y8" s="22"/>
      <c r="Z8" s="185">
        <f>+V21-V20</f>
        <v>44</v>
      </c>
      <c r="AA8" s="177"/>
    </row>
    <row r="9" spans="1:158" ht="57" customHeight="1" x14ac:dyDescent="0.45">
      <c r="A9" s="22"/>
      <c r="B9" s="22"/>
      <c r="C9" s="22"/>
      <c r="D9" s="22"/>
      <c r="E9" s="22"/>
      <c r="F9" s="22"/>
      <c r="G9" s="153"/>
      <c r="H9" s="30" t="s">
        <v>23</v>
      </c>
      <c r="I9" s="31" t="s">
        <v>66</v>
      </c>
      <c r="J9" s="32"/>
      <c r="K9" s="33">
        <v>700</v>
      </c>
      <c r="L9" s="34" t="s">
        <v>32</v>
      </c>
      <c r="M9" s="35">
        <v>0.1</v>
      </c>
      <c r="N9" s="219" t="s">
        <v>34</v>
      </c>
      <c r="O9" s="220"/>
      <c r="P9" s="36">
        <v>1.8</v>
      </c>
      <c r="Q9" s="193"/>
      <c r="R9" s="194"/>
      <c r="S9" s="194"/>
      <c r="T9" s="194"/>
      <c r="U9" s="195"/>
      <c r="V9" s="183"/>
      <c r="W9" s="184"/>
      <c r="X9" s="28"/>
      <c r="Y9" s="22"/>
      <c r="Z9" s="186"/>
      <c r="AA9" s="178"/>
    </row>
    <row r="10" spans="1:158" ht="27" customHeight="1" x14ac:dyDescent="0.45">
      <c r="A10" s="22"/>
      <c r="B10" s="22"/>
      <c r="C10" s="22"/>
      <c r="D10" s="22"/>
      <c r="E10" s="22"/>
      <c r="F10" s="22"/>
      <c r="G10" s="28"/>
      <c r="H10" s="28"/>
      <c r="I10" s="28"/>
      <c r="J10" s="28"/>
      <c r="K10" s="28"/>
      <c r="L10" s="28"/>
      <c r="M10" s="28"/>
      <c r="N10" s="22"/>
      <c r="O10" s="22"/>
      <c r="P10" s="22"/>
      <c r="Q10" s="196" t="s">
        <v>70</v>
      </c>
      <c r="R10" s="197"/>
      <c r="S10" s="197"/>
      <c r="T10" s="197"/>
      <c r="U10" s="198"/>
      <c r="V10" s="181" t="s">
        <v>59</v>
      </c>
      <c r="W10" s="182"/>
      <c r="X10" s="28"/>
      <c r="Y10" s="22"/>
      <c r="Z10" s="185">
        <f>+Z8+Q18+V23</f>
        <v>53.456821338125827</v>
      </c>
      <c r="AA10" s="101">
        <v>2.2000000000000002</v>
      </c>
    </row>
    <row r="11" spans="1:158" ht="70.2" customHeight="1" x14ac:dyDescent="0.4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99"/>
      <c r="R11" s="200"/>
      <c r="S11" s="200"/>
      <c r="T11" s="200"/>
      <c r="U11" s="201"/>
      <c r="V11" s="183"/>
      <c r="W11" s="184"/>
      <c r="X11" s="28"/>
      <c r="Y11" s="22"/>
      <c r="Z11" s="186"/>
      <c r="AA11" s="22"/>
    </row>
    <row r="12" spans="1:158" s="4" customFormat="1" ht="28.8" customHeight="1" thickBot="1" x14ac:dyDescent="0.4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179" t="s">
        <v>49</v>
      </c>
      <c r="R12" s="180"/>
      <c r="S12" s="180"/>
      <c r="T12" s="180"/>
      <c r="U12" s="41">
        <f>1.301*10^-6</f>
        <v>1.3009999999999999E-6</v>
      </c>
      <c r="V12" s="40"/>
      <c r="W12" s="40"/>
      <c r="X12" s="40"/>
      <c r="Y12" s="40"/>
      <c r="Z12" s="42"/>
      <c r="AA12" s="42"/>
    </row>
    <row r="13" spans="1:158" ht="28.8" customHeight="1" x14ac:dyDescent="0.4">
      <c r="A13" s="235" t="s">
        <v>3</v>
      </c>
      <c r="B13" s="237" t="s">
        <v>0</v>
      </c>
      <c r="C13" s="239" t="s">
        <v>30</v>
      </c>
      <c r="D13" s="239" t="s">
        <v>29</v>
      </c>
      <c r="E13" s="237" t="s">
        <v>1</v>
      </c>
      <c r="F13" s="237" t="s">
        <v>2</v>
      </c>
      <c r="G13" s="238" t="s">
        <v>3</v>
      </c>
      <c r="H13" s="238"/>
      <c r="I13" s="238"/>
      <c r="J13" s="238"/>
      <c r="K13" s="238"/>
      <c r="L13" s="238"/>
      <c r="M13" s="238"/>
      <c r="N13" s="170" t="s">
        <v>4</v>
      </c>
      <c r="O13" s="170"/>
      <c r="P13" s="170"/>
      <c r="Q13" s="170"/>
      <c r="R13" s="166" t="s">
        <v>55</v>
      </c>
      <c r="S13" s="167"/>
      <c r="T13" s="166" t="s">
        <v>5</v>
      </c>
      <c r="U13" s="167"/>
      <c r="V13" s="173" t="s">
        <v>6</v>
      </c>
      <c r="W13" s="174"/>
      <c r="X13" s="44"/>
      <c r="Y13" s="44"/>
      <c r="Z13" s="161" t="s">
        <v>57</v>
      </c>
      <c r="AA13" s="156" t="s">
        <v>56</v>
      </c>
    </row>
    <row r="14" spans="1:158" ht="43.2" customHeight="1" x14ac:dyDescent="0.3">
      <c r="A14" s="236"/>
      <c r="B14" s="164"/>
      <c r="C14" s="240"/>
      <c r="D14" s="240"/>
      <c r="E14" s="164"/>
      <c r="F14" s="164"/>
      <c r="G14" s="242" t="s">
        <v>7</v>
      </c>
      <c r="H14" s="164" t="s">
        <v>8</v>
      </c>
      <c r="I14" s="242" t="s">
        <v>47</v>
      </c>
      <c r="J14" s="164" t="s">
        <v>9</v>
      </c>
      <c r="K14" s="164" t="s">
        <v>10</v>
      </c>
      <c r="L14" s="164" t="s">
        <v>11</v>
      </c>
      <c r="M14" s="164" t="s">
        <v>12</v>
      </c>
      <c r="N14" s="164" t="s">
        <v>13</v>
      </c>
      <c r="O14" s="244" t="s">
        <v>14</v>
      </c>
      <c r="P14" s="165" t="s">
        <v>15</v>
      </c>
      <c r="Q14" s="165"/>
      <c r="R14" s="168"/>
      <c r="S14" s="169"/>
      <c r="T14" s="168"/>
      <c r="U14" s="169"/>
      <c r="V14" s="159" t="s">
        <v>26</v>
      </c>
      <c r="W14" s="160"/>
      <c r="X14" s="171"/>
      <c r="Y14" s="172"/>
      <c r="Z14" s="162"/>
      <c r="AA14" s="157"/>
    </row>
    <row r="15" spans="1:158" ht="46.8" customHeight="1" x14ac:dyDescent="0.3">
      <c r="A15" s="236"/>
      <c r="B15" s="164"/>
      <c r="C15" s="241"/>
      <c r="D15" s="241"/>
      <c r="E15" s="164"/>
      <c r="F15" s="164"/>
      <c r="G15" s="243"/>
      <c r="H15" s="164"/>
      <c r="I15" s="241"/>
      <c r="J15" s="164"/>
      <c r="K15" s="164"/>
      <c r="L15" s="164"/>
      <c r="M15" s="164"/>
      <c r="N15" s="164"/>
      <c r="O15" s="245"/>
      <c r="P15" s="45" t="s">
        <v>16</v>
      </c>
      <c r="Q15" s="45" t="s">
        <v>17</v>
      </c>
      <c r="R15" s="47" t="s">
        <v>27</v>
      </c>
      <c r="S15" s="47" t="s">
        <v>28</v>
      </c>
      <c r="T15" s="47" t="s">
        <v>27</v>
      </c>
      <c r="U15" s="47" t="s">
        <v>28</v>
      </c>
      <c r="V15" s="47" t="s">
        <v>27</v>
      </c>
      <c r="W15" s="46" t="s">
        <v>28</v>
      </c>
      <c r="X15" s="46"/>
      <c r="Y15" s="48"/>
      <c r="Z15" s="163"/>
      <c r="AA15" s="158"/>
    </row>
    <row r="16" spans="1:158" ht="22.8" x14ac:dyDescent="0.4">
      <c r="A16" s="49" t="s">
        <v>50</v>
      </c>
      <c r="B16" s="50">
        <v>1</v>
      </c>
      <c r="C16" s="51" t="s">
        <v>51</v>
      </c>
      <c r="D16" s="51" t="s">
        <v>40</v>
      </c>
      <c r="E16" s="52">
        <v>950</v>
      </c>
      <c r="F16" s="53">
        <v>1000</v>
      </c>
      <c r="G16" s="54" t="str">
        <f>IF(J16&lt;=$K$8,"PEAD",IF(J16&gt;=$K$9,"BETÃO",""))</f>
        <v>BETÃO</v>
      </c>
      <c r="H16" s="54">
        <f>IF(Y16&lt;60,6.3,IF(Y16&lt;80,8,IF(Y16&lt;100,10,IF(Y16&lt;125,12.5,IF(Y16&lt;170,16)))))</f>
        <v>6.3</v>
      </c>
      <c r="I16" s="50">
        <f>HLOOKUP(H16,Tabela_Tubagem!$T$5:$AB$6,2,FALSE)</f>
        <v>3</v>
      </c>
      <c r="J16" s="55">
        <v>900</v>
      </c>
      <c r="K16" s="56">
        <f>VLOOKUP(J16,Tabela_Tubagem!$T$9:$AB$41,I16,FALSE)</f>
        <v>900</v>
      </c>
      <c r="L16" s="57">
        <f t="shared" ref="L16:L18" si="0">K16/1000</f>
        <v>0.9</v>
      </c>
      <c r="M16" s="57">
        <f>IF(G16="PEAD",$M$8,IF(G16="BETÃO",$M$9,""))</f>
        <v>0.1</v>
      </c>
      <c r="N16" s="58">
        <f t="shared" ref="N16:N18" si="1">(F16/1000)/(PI()*L16^2/4)</f>
        <v>1.5719006725125464</v>
      </c>
      <c r="O16" s="59">
        <f>N16^2/((LOG(((M16/1000)/(3.7*L16))+(5.13*($U$12/(N16*L16))^0.89)))^2*8*9.81*L16)</f>
        <v>1.9045847592979752E-3</v>
      </c>
      <c r="P16" s="57">
        <f>E16*O16*1.1</f>
        <v>1.9902910734663841</v>
      </c>
      <c r="Q16" s="57">
        <f t="shared" ref="Q16" si="2">+P16</f>
        <v>1.9902910734663841</v>
      </c>
      <c r="R16" s="60">
        <v>70</v>
      </c>
      <c r="S16" s="60">
        <v>80</v>
      </c>
      <c r="T16" s="60">
        <f>+V20+Z10-V23</f>
        <v>107.45682133812582</v>
      </c>
      <c r="U16" s="61">
        <f>+T16-Q16</f>
        <v>105.46653026465944</v>
      </c>
      <c r="V16" s="61">
        <f>+T16-R16</f>
        <v>37.45682133812582</v>
      </c>
      <c r="W16" s="61">
        <f>+U16-S16</f>
        <v>25.46653026465944</v>
      </c>
      <c r="X16" s="61"/>
      <c r="Y16" s="61"/>
      <c r="Z16" s="62">
        <f>VLOOKUP(J16,Tabela_Tubagem!$T$50:$AB$82,I16,FALSE)*E16</f>
        <v>237500</v>
      </c>
      <c r="AA16" s="63">
        <f>+Z16*$AA$10</f>
        <v>522500.00000000006</v>
      </c>
    </row>
    <row r="17" spans="1:27" ht="22.8" x14ac:dyDescent="0.4">
      <c r="A17" s="49" t="s">
        <v>50</v>
      </c>
      <c r="B17" s="50">
        <f>+B16+1</f>
        <v>2</v>
      </c>
      <c r="C17" s="64" t="str">
        <f>+D16</f>
        <v>N01</v>
      </c>
      <c r="D17" s="51" t="s">
        <v>41</v>
      </c>
      <c r="E17" s="52">
        <v>500</v>
      </c>
      <c r="F17" s="53">
        <v>1000</v>
      </c>
      <c r="G17" s="54" t="str">
        <f t="shared" ref="G17:G18" si="3">IF(J17&lt;=$K$8,"PEAD",IF(J17&gt;=$K$9,"BETÃO",""))</f>
        <v>BETÃO</v>
      </c>
      <c r="H17" s="54">
        <f>IF(Y17&lt;60,6.3,IF(Y17&lt;80,8,IF(Y17&lt;100,10,IF(Y17&lt;125,12.5,IF(Y17&lt;170,16)))))</f>
        <v>6.3</v>
      </c>
      <c r="I17" s="50">
        <f>HLOOKUP(H17,Tabela_Tubagem!$T$5:$AB$6,2,FALSE)</f>
        <v>3</v>
      </c>
      <c r="J17" s="55">
        <v>900</v>
      </c>
      <c r="K17" s="56">
        <f>VLOOKUP(J17,Tabela_Tubagem!$T$9:$AB$41,I17,FALSE)</f>
        <v>900</v>
      </c>
      <c r="L17" s="57">
        <f t="shared" si="0"/>
        <v>0.9</v>
      </c>
      <c r="M17" s="57">
        <f t="shared" ref="M17:M18" si="4">IF(G17="PEAD",$M$8,IF(G17="BETÃO",$M$9,""))</f>
        <v>0.1</v>
      </c>
      <c r="N17" s="58">
        <f t="shared" si="1"/>
        <v>1.5719006725125464</v>
      </c>
      <c r="O17" s="59">
        <f>N17^2/((LOG(((M17/1000)/(3.7*L17))+(5.13*($U$12/(N17*L17))^0.89)))^2*8*9.81*L17)</f>
        <v>1.9045847592979752E-3</v>
      </c>
      <c r="P17" s="57">
        <f t="shared" ref="P17:P18" si="5">E17*O17*1.1</f>
        <v>1.0475216176138864</v>
      </c>
      <c r="Q17" s="57">
        <f>+Q16+P17</f>
        <v>3.0378126910802705</v>
      </c>
      <c r="R17" s="60">
        <f>+S16</f>
        <v>80</v>
      </c>
      <c r="S17" s="60">
        <v>90</v>
      </c>
      <c r="T17" s="61">
        <f>+VLOOKUP(C17,$D$16:$U$18,18,FALSE)</f>
        <v>105.46653026465944</v>
      </c>
      <c r="U17" s="61">
        <f>+T17-P17</f>
        <v>104.41900864704556</v>
      </c>
      <c r="V17" s="61">
        <f t="shared" ref="V17:W18" si="6">+T17-R17</f>
        <v>25.46653026465944</v>
      </c>
      <c r="W17" s="61">
        <f t="shared" si="6"/>
        <v>14.419008647045558</v>
      </c>
      <c r="X17" s="61"/>
      <c r="Y17" s="61"/>
      <c r="Z17" s="62">
        <f>VLOOKUP(J17,Tabela_Tubagem!$T$50:$AB$82,I17,FALSE)*E17</f>
        <v>125000</v>
      </c>
      <c r="AA17" s="63">
        <f>+Z17*$AA$10</f>
        <v>275000</v>
      </c>
    </row>
    <row r="18" spans="1:27" ht="23.4" thickBot="1" x14ac:dyDescent="0.45">
      <c r="A18" s="49" t="s">
        <v>50</v>
      </c>
      <c r="B18" s="50">
        <f>+B17+1</f>
        <v>3</v>
      </c>
      <c r="C18" s="64" t="str">
        <f>+D17</f>
        <v>N02</v>
      </c>
      <c r="D18" s="51" t="s">
        <v>52</v>
      </c>
      <c r="E18" s="52">
        <v>200</v>
      </c>
      <c r="F18" s="53">
        <v>1000</v>
      </c>
      <c r="G18" s="54" t="str">
        <f t="shared" si="3"/>
        <v>BETÃO</v>
      </c>
      <c r="H18" s="54">
        <f>IF(Y18&lt;60,6.3,IF(Y18&lt;80,8,IF(Y18&lt;100,10,IF(Y18&lt;125,12.5,IF(Y18&lt;170,16)))))</f>
        <v>6.3</v>
      </c>
      <c r="I18" s="50">
        <f>HLOOKUP(H18,Tabela_Tubagem!$T$5:$AB$6,2,FALSE)</f>
        <v>3</v>
      </c>
      <c r="J18" s="55">
        <v>900</v>
      </c>
      <c r="K18" s="56">
        <f>VLOOKUP(J18,Tabela_Tubagem!$T$9:$AB$41,I18,FALSE)</f>
        <v>900</v>
      </c>
      <c r="L18" s="57">
        <f t="shared" si="0"/>
        <v>0.9</v>
      </c>
      <c r="M18" s="57">
        <f t="shared" si="4"/>
        <v>0.1</v>
      </c>
      <c r="N18" s="102">
        <f t="shared" si="1"/>
        <v>1.5719006725125464</v>
      </c>
      <c r="O18" s="103">
        <f>N18^2/((LOG(((M18/1000)/(3.7*L18))+(5.13*($U$12/(N18*L18))^0.89)))^2*8*9.81*L18)</f>
        <v>1.9045847592979752E-3</v>
      </c>
      <c r="P18" s="104">
        <f t="shared" si="5"/>
        <v>0.41900864704555457</v>
      </c>
      <c r="Q18" s="104">
        <f>+Q17+P18</f>
        <v>3.4568213381258253</v>
      </c>
      <c r="R18" s="105">
        <f>+S17</f>
        <v>90</v>
      </c>
      <c r="S18" s="105">
        <v>100</v>
      </c>
      <c r="T18" s="106">
        <f>+VLOOKUP(C18,$D$16:$U$18,18,FALSE)</f>
        <v>104.41900864704556</v>
      </c>
      <c r="U18" s="107">
        <f>+T18-P18</f>
        <v>104</v>
      </c>
      <c r="V18" s="106">
        <f t="shared" si="6"/>
        <v>14.419008647045558</v>
      </c>
      <c r="W18" s="61">
        <f t="shared" si="6"/>
        <v>4</v>
      </c>
      <c r="X18" s="61"/>
      <c r="Y18" s="61"/>
      <c r="Z18" s="265">
        <f>VLOOKUP(J18,Tabela_Tubagem!$T$50:$AB$82,I18,FALSE)*E18</f>
        <v>50000</v>
      </c>
      <c r="AA18" s="266">
        <f>+Z18*$AA$10</f>
        <v>110000.00000000001</v>
      </c>
    </row>
    <row r="19" spans="1:27" ht="33" customHeight="1" thickBo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52" t="s">
        <v>65</v>
      </c>
      <c r="N19" s="253"/>
      <c r="O19" s="254"/>
      <c r="P19" s="108" t="s">
        <v>61</v>
      </c>
      <c r="Q19" s="109"/>
      <c r="R19" s="110"/>
      <c r="S19" s="110"/>
      <c r="T19" s="110"/>
      <c r="U19" s="111"/>
      <c r="V19" s="112">
        <v>70</v>
      </c>
      <c r="W19" s="28"/>
      <c r="X19" s="28"/>
      <c r="Y19" s="28"/>
      <c r="Z19" s="263">
        <f>SUM(Z16:Z18)</f>
        <v>412500</v>
      </c>
      <c r="AA19" s="264">
        <f>SUM(AA16:AA18)</f>
        <v>907500</v>
      </c>
    </row>
    <row r="20" spans="1:27" ht="27.6" customHeight="1" x14ac:dyDescent="0.45">
      <c r="A20" s="87"/>
      <c r="B20" s="87"/>
      <c r="C20" s="87"/>
      <c r="D20" s="87"/>
      <c r="E20" s="88"/>
      <c r="F20" s="89"/>
      <c r="G20" s="89"/>
      <c r="H20" s="89"/>
      <c r="I20" s="87"/>
      <c r="J20" s="87"/>
      <c r="K20" s="87"/>
      <c r="L20" s="87"/>
      <c r="M20" s="229"/>
      <c r="N20" s="230"/>
      <c r="O20" s="231"/>
      <c r="P20" s="82" t="s">
        <v>62</v>
      </c>
      <c r="Q20" s="90"/>
      <c r="R20" s="91"/>
      <c r="S20" s="91"/>
      <c r="T20" s="91"/>
      <c r="U20" s="85"/>
      <c r="V20" s="86">
        <v>60</v>
      </c>
      <c r="W20" s="88"/>
      <c r="X20" s="88"/>
      <c r="Y20" s="92"/>
      <c r="Z20" s="93"/>
      <c r="AA20" s="93"/>
    </row>
    <row r="21" spans="1:27" ht="31.2" customHeight="1" x14ac:dyDescent="0.45">
      <c r="A21" s="87"/>
      <c r="B21" s="87"/>
      <c r="C21" s="87"/>
      <c r="D21" s="87"/>
      <c r="E21" s="88"/>
      <c r="F21" s="89"/>
      <c r="G21" s="89"/>
      <c r="H21" s="89"/>
      <c r="I21" s="87"/>
      <c r="J21" s="87"/>
      <c r="K21" s="87"/>
      <c r="L21" s="87"/>
      <c r="M21" s="229"/>
      <c r="N21" s="230"/>
      <c r="O21" s="231"/>
      <c r="P21" s="82" t="s">
        <v>63</v>
      </c>
      <c r="Q21" s="90"/>
      <c r="R21" s="91"/>
      <c r="S21" s="91"/>
      <c r="T21" s="91"/>
      <c r="U21" s="85"/>
      <c r="V21" s="86">
        <v>104</v>
      </c>
      <c r="W21" s="88"/>
      <c r="X21" s="88"/>
      <c r="Y21" s="92"/>
      <c r="Z21" s="93"/>
      <c r="AA21" s="93"/>
    </row>
    <row r="22" spans="1:27" ht="36.6" customHeight="1" x14ac:dyDescent="0.45">
      <c r="A22" s="28"/>
      <c r="B22" s="28"/>
      <c r="C22" s="28"/>
      <c r="D22" s="28"/>
      <c r="E22" s="28"/>
      <c r="F22" s="28"/>
      <c r="G22" s="28"/>
      <c r="H22" s="28"/>
      <c r="I22" s="28"/>
      <c r="J22" s="87"/>
      <c r="K22" s="87"/>
      <c r="L22" s="87"/>
      <c r="M22" s="229"/>
      <c r="N22" s="230"/>
      <c r="O22" s="231"/>
      <c r="P22" s="94" t="s">
        <v>64</v>
      </c>
      <c r="Q22" s="95"/>
      <c r="R22" s="96"/>
      <c r="S22" s="96"/>
      <c r="T22" s="96"/>
      <c r="U22" s="97"/>
      <c r="V22" s="98">
        <v>100</v>
      </c>
      <c r="W22" s="28"/>
      <c r="X22" s="28"/>
      <c r="Y22" s="28"/>
      <c r="Z22" s="28"/>
      <c r="AA22" s="28"/>
    </row>
    <row r="23" spans="1:27" ht="23.4" customHeight="1" x14ac:dyDescent="0.45">
      <c r="A23" s="28"/>
      <c r="B23" s="28"/>
      <c r="C23" s="28"/>
      <c r="D23" s="28"/>
      <c r="E23" s="28"/>
      <c r="F23" s="89"/>
      <c r="G23" s="28"/>
      <c r="H23" s="28"/>
      <c r="I23" s="28"/>
      <c r="J23" s="28"/>
      <c r="K23" s="28"/>
      <c r="L23" s="28"/>
      <c r="M23" s="229"/>
      <c r="N23" s="230"/>
      <c r="O23" s="231"/>
      <c r="P23" s="221" t="s">
        <v>60</v>
      </c>
      <c r="Q23" s="222"/>
      <c r="R23" s="222"/>
      <c r="S23" s="222"/>
      <c r="T23" s="222"/>
      <c r="U23" s="223"/>
      <c r="V23" s="227">
        <v>6</v>
      </c>
      <c r="W23" s="28"/>
      <c r="X23" s="28"/>
      <c r="Y23" s="28"/>
      <c r="Z23" s="28"/>
      <c r="AA23" s="28"/>
    </row>
    <row r="24" spans="1:27" ht="33.6" customHeight="1" thickBot="1" x14ac:dyDescent="0.5">
      <c r="A24" s="28"/>
      <c r="B24" s="28"/>
      <c r="C24" s="28"/>
      <c r="D24" s="28"/>
      <c r="E24" s="28"/>
      <c r="F24" s="89"/>
      <c r="G24" s="28"/>
      <c r="H24" s="28"/>
      <c r="I24" s="28"/>
      <c r="J24" s="28"/>
      <c r="K24" s="28"/>
      <c r="L24" s="28"/>
      <c r="M24" s="232"/>
      <c r="N24" s="233"/>
      <c r="O24" s="234"/>
      <c r="P24" s="224"/>
      <c r="Q24" s="225"/>
      <c r="R24" s="225"/>
      <c r="S24" s="225"/>
      <c r="T24" s="225"/>
      <c r="U24" s="226"/>
      <c r="V24" s="228"/>
      <c r="W24" s="28"/>
      <c r="X24" s="28"/>
      <c r="Y24" s="28"/>
      <c r="Z24" s="28"/>
      <c r="AA24" s="28"/>
    </row>
    <row r="25" spans="1:27" x14ac:dyDescent="0.3">
      <c r="F25" s="5"/>
    </row>
    <row r="26" spans="1:27" x14ac:dyDescent="0.3">
      <c r="F26" s="5"/>
    </row>
    <row r="27" spans="1:27" x14ac:dyDescent="0.3">
      <c r="F27" s="5"/>
    </row>
    <row r="28" spans="1:27" x14ac:dyDescent="0.3">
      <c r="F28" s="5"/>
    </row>
    <row r="29" spans="1:27" x14ac:dyDescent="0.3">
      <c r="F29" s="5"/>
    </row>
    <row r="30" spans="1:27" x14ac:dyDescent="0.3">
      <c r="F30" s="5"/>
    </row>
    <row r="31" spans="1:27" x14ac:dyDescent="0.3">
      <c r="F31" s="5"/>
    </row>
    <row r="32" spans="1:27" x14ac:dyDescent="0.3">
      <c r="F32" s="5"/>
    </row>
    <row r="33" spans="6:6" x14ac:dyDescent="0.3">
      <c r="F33" s="5"/>
    </row>
    <row r="34" spans="6:6" x14ac:dyDescent="0.3">
      <c r="F34" s="5"/>
    </row>
    <row r="35" spans="6:6" x14ac:dyDescent="0.3">
      <c r="F35" s="5"/>
    </row>
    <row r="36" spans="6:6" x14ac:dyDescent="0.3">
      <c r="F36" s="5"/>
    </row>
    <row r="37" spans="6:6" x14ac:dyDescent="0.3">
      <c r="F37" s="5"/>
    </row>
    <row r="38" spans="6:6" x14ac:dyDescent="0.3">
      <c r="F38" s="5"/>
    </row>
    <row r="39" spans="6:6" x14ac:dyDescent="0.3">
      <c r="F39" s="5"/>
    </row>
    <row r="40" spans="6:6" x14ac:dyDescent="0.3">
      <c r="F40" s="5"/>
    </row>
    <row r="41" spans="6:6" x14ac:dyDescent="0.3">
      <c r="F41" s="5"/>
    </row>
  </sheetData>
  <dataConsolidate/>
  <mergeCells count="47">
    <mergeCell ref="G8:G9"/>
    <mergeCell ref="M14:M15"/>
    <mergeCell ref="N14:N15"/>
    <mergeCell ref="O14:O15"/>
    <mergeCell ref="P14:Q14"/>
    <mergeCell ref="G14:G15"/>
    <mergeCell ref="H14:H15"/>
    <mergeCell ref="I14:I15"/>
    <mergeCell ref="J14:J15"/>
    <mergeCell ref="K14:K15"/>
    <mergeCell ref="L14:L15"/>
    <mergeCell ref="Q12:T12"/>
    <mergeCell ref="Z13:Z15"/>
    <mergeCell ref="AA13:AA15"/>
    <mergeCell ref="M19:O24"/>
    <mergeCell ref="P23:U24"/>
    <mergeCell ref="V23:V24"/>
    <mergeCell ref="V14:W14"/>
    <mergeCell ref="A13:A15"/>
    <mergeCell ref="B13:B15"/>
    <mergeCell ref="C13:C15"/>
    <mergeCell ref="D13:D15"/>
    <mergeCell ref="E13:E15"/>
    <mergeCell ref="F13:F15"/>
    <mergeCell ref="G13:M13"/>
    <mergeCell ref="N13:Q13"/>
    <mergeCell ref="R13:S14"/>
    <mergeCell ref="AA6:AA9"/>
    <mergeCell ref="N8:O8"/>
    <mergeCell ref="Q8:U9"/>
    <mergeCell ref="V8:W9"/>
    <mergeCell ref="Z8:Z9"/>
    <mergeCell ref="N9:O9"/>
    <mergeCell ref="Q10:U11"/>
    <mergeCell ref="V10:W11"/>
    <mergeCell ref="Z10:Z11"/>
    <mergeCell ref="X14:Y14"/>
    <mergeCell ref="T13:U14"/>
    <mergeCell ref="V13:W13"/>
    <mergeCell ref="A2:AA2"/>
    <mergeCell ref="A3:AA3"/>
    <mergeCell ref="G5:M5"/>
    <mergeCell ref="N5:U5"/>
    <mergeCell ref="G6:K7"/>
    <mergeCell ref="L6:M7"/>
    <mergeCell ref="N6:P7"/>
    <mergeCell ref="Q6:U7"/>
  </mergeCells>
  <conditionalFormatting sqref="N16:N18">
    <cfRule type="cellIs" dxfId="1" priority="1" stopIfTrue="1" operator="lessThanOrEqual">
      <formula>$P$8</formula>
    </cfRule>
    <cfRule type="cellIs" dxfId="0" priority="2" stopIfTrue="1" operator="greaterThanOrEqual">
      <formula>$P$9</formula>
    </cfRule>
  </conditionalFormatting>
  <dataValidations count="1">
    <dataValidation type="list" allowBlank="1" showInputMessage="1" showErrorMessage="1" sqref="J16:J18" xr:uid="{96866DDA-2614-41D7-89F9-B6096903C8C8}">
      <formula1>DN</formula1>
    </dataValidation>
  </dataValidations>
  <pageMargins left="0.75" right="0.75" top="1" bottom="1" header="0.5" footer="0.5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>
              <from>
                <xdr:col>21</xdr:col>
                <xdr:colOff>144780</xdr:colOff>
                <xdr:row>4</xdr:row>
                <xdr:rowOff>381000</xdr:rowOff>
              </from>
              <to>
                <xdr:col>25</xdr:col>
                <xdr:colOff>1577340</xdr:colOff>
                <xdr:row>6</xdr:row>
                <xdr:rowOff>137160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indexed="21"/>
    <pageSetUpPr fitToPage="1"/>
  </sheetPr>
  <dimension ref="A2:AD82"/>
  <sheetViews>
    <sheetView showGridLines="0" topLeftCell="M1" zoomScale="70" zoomScaleNormal="70" workbookViewId="0">
      <selection activeCell="T12" sqref="T12"/>
    </sheetView>
  </sheetViews>
  <sheetFormatPr defaultRowHeight="13.2" x14ac:dyDescent="0.25"/>
  <cols>
    <col min="1" max="1" width="10.77734375" customWidth="1"/>
    <col min="2" max="18" width="15.77734375" customWidth="1"/>
    <col min="19" max="19" width="10.6640625" customWidth="1"/>
    <col min="20" max="20" width="13.5546875" customWidth="1"/>
    <col min="21" max="27" width="12" bestFit="1" customWidth="1"/>
    <col min="28" max="28" width="10.5546875" bestFit="1" customWidth="1"/>
    <col min="29" max="29" width="16.88671875" customWidth="1"/>
  </cols>
  <sheetData>
    <row r="2" spans="1:28" ht="17.399999999999999" x14ac:dyDescent="0.3">
      <c r="A2" s="140" t="s">
        <v>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8" ht="17.399999999999999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8" ht="18" thickBot="1" x14ac:dyDescent="0.35">
      <c r="A4" s="9" t="s">
        <v>22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8" ht="20.399999999999999" x14ac:dyDescent="0.35">
      <c r="A5" s="9" t="s">
        <v>71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T5" s="121" t="s">
        <v>18</v>
      </c>
      <c r="U5" s="122">
        <v>4</v>
      </c>
      <c r="V5" s="122">
        <v>6.3</v>
      </c>
      <c r="W5" s="122">
        <v>8</v>
      </c>
      <c r="X5" s="122">
        <v>10</v>
      </c>
      <c r="Y5" s="122">
        <v>12.5</v>
      </c>
      <c r="Z5" s="122">
        <v>16</v>
      </c>
      <c r="AA5" s="122">
        <v>20</v>
      </c>
      <c r="AB5" s="123">
        <v>25</v>
      </c>
    </row>
    <row r="6" spans="1:28" ht="21" thickBot="1" x14ac:dyDescent="0.4">
      <c r="A6" s="255" t="s">
        <v>7</v>
      </c>
      <c r="B6" s="255" t="s">
        <v>19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T6" s="124">
        <v>1</v>
      </c>
      <c r="U6" s="125">
        <v>2</v>
      </c>
      <c r="V6" s="125">
        <v>3</v>
      </c>
      <c r="W6" s="125">
        <v>4</v>
      </c>
      <c r="X6" s="125">
        <v>5</v>
      </c>
      <c r="Y6" s="125">
        <v>6</v>
      </c>
      <c r="Z6" s="125">
        <v>7</v>
      </c>
      <c r="AA6" s="125">
        <v>8</v>
      </c>
      <c r="AB6" s="126">
        <v>9</v>
      </c>
    </row>
    <row r="7" spans="1:28" ht="21" thickBot="1" x14ac:dyDescent="0.4">
      <c r="A7" s="255"/>
      <c r="B7" s="141"/>
      <c r="C7" s="256">
        <v>4</v>
      </c>
      <c r="D7" s="257"/>
      <c r="E7" s="255">
        <v>6.3</v>
      </c>
      <c r="F7" s="255"/>
      <c r="G7" s="255">
        <v>8</v>
      </c>
      <c r="H7" s="255"/>
      <c r="I7" s="255">
        <v>10</v>
      </c>
      <c r="J7" s="255"/>
      <c r="K7" s="255">
        <v>12.5</v>
      </c>
      <c r="L7" s="255"/>
      <c r="M7" s="255">
        <v>16</v>
      </c>
      <c r="N7" s="255"/>
      <c r="O7" s="255">
        <v>20</v>
      </c>
      <c r="P7" s="255"/>
      <c r="Q7" s="255">
        <v>25</v>
      </c>
      <c r="R7" s="255"/>
      <c r="T7" s="127"/>
      <c r="U7" s="127"/>
      <c r="V7" s="127"/>
      <c r="W7" s="127"/>
      <c r="X7" s="127"/>
      <c r="Y7" s="127"/>
      <c r="Z7" s="127"/>
      <c r="AA7" s="127"/>
      <c r="AB7" s="127"/>
    </row>
    <row r="8" spans="1:28" ht="21" x14ac:dyDescent="0.4">
      <c r="A8" s="255"/>
      <c r="B8" s="141" t="s">
        <v>9</v>
      </c>
      <c r="C8" s="141" t="s">
        <v>20</v>
      </c>
      <c r="D8" s="141" t="s">
        <v>10</v>
      </c>
      <c r="E8" s="141" t="s">
        <v>20</v>
      </c>
      <c r="F8" s="141" t="s">
        <v>10</v>
      </c>
      <c r="G8" s="141" t="s">
        <v>20</v>
      </c>
      <c r="H8" s="141" t="s">
        <v>10</v>
      </c>
      <c r="I8" s="141" t="s">
        <v>20</v>
      </c>
      <c r="J8" s="141" t="s">
        <v>10</v>
      </c>
      <c r="K8" s="141" t="s">
        <v>20</v>
      </c>
      <c r="L8" s="141" t="s">
        <v>10</v>
      </c>
      <c r="M8" s="141" t="s">
        <v>20</v>
      </c>
      <c r="N8" s="141" t="s">
        <v>10</v>
      </c>
      <c r="O8" s="141" t="s">
        <v>20</v>
      </c>
      <c r="P8" s="141" t="s">
        <v>10</v>
      </c>
      <c r="Q8" s="141" t="s">
        <v>20</v>
      </c>
      <c r="R8" s="141" t="s">
        <v>10</v>
      </c>
      <c r="T8" s="146" t="s">
        <v>72</v>
      </c>
      <c r="U8" s="142">
        <v>4</v>
      </c>
      <c r="V8" s="143">
        <v>6.3</v>
      </c>
      <c r="W8" s="143">
        <v>8</v>
      </c>
      <c r="X8" s="143">
        <v>10</v>
      </c>
      <c r="Y8" s="143">
        <v>12.5</v>
      </c>
      <c r="Z8" s="143">
        <v>16</v>
      </c>
      <c r="AA8" s="144">
        <v>20</v>
      </c>
      <c r="AB8" s="145">
        <v>25</v>
      </c>
    </row>
    <row r="9" spans="1:28" ht="20.399999999999999" x14ac:dyDescent="0.35">
      <c r="A9" s="113" t="s">
        <v>21</v>
      </c>
      <c r="B9" s="113">
        <v>63</v>
      </c>
      <c r="C9" s="113"/>
      <c r="D9" s="113"/>
      <c r="E9" s="114">
        <v>2.5</v>
      </c>
      <c r="F9" s="113">
        <f t="shared" ref="F9:F27" si="0">$B9-E9*2</f>
        <v>58</v>
      </c>
      <c r="G9" s="114">
        <v>3</v>
      </c>
      <c r="H9" s="113">
        <f t="shared" ref="H9:H27" si="1">$B9-G9*2</f>
        <v>57</v>
      </c>
      <c r="I9" s="114">
        <v>3.8</v>
      </c>
      <c r="J9" s="113">
        <f t="shared" ref="J9:J27" si="2">$B9-I9*2</f>
        <v>55.4</v>
      </c>
      <c r="K9" s="113">
        <v>4.7</v>
      </c>
      <c r="L9" s="113">
        <f t="shared" ref="L9:L27" si="3">$B9-K9*2</f>
        <v>53.6</v>
      </c>
      <c r="M9" s="113">
        <v>5.8</v>
      </c>
      <c r="N9" s="113">
        <f t="shared" ref="N9:N27" si="4">$B9-M9*2</f>
        <v>51.4</v>
      </c>
      <c r="O9" s="114">
        <v>7.1</v>
      </c>
      <c r="P9" s="113">
        <f t="shared" ref="P9:P27" si="5">$B9-O9*2</f>
        <v>48.8</v>
      </c>
      <c r="Q9" s="113">
        <v>8.6</v>
      </c>
      <c r="R9" s="113">
        <f t="shared" ref="R9:R27" si="6">$B9-Q9*2</f>
        <v>45.8</v>
      </c>
      <c r="T9" s="136">
        <f t="shared" ref="T9:T15" si="7">B9</f>
        <v>63</v>
      </c>
      <c r="U9" s="137">
        <f t="shared" ref="U9:U15" si="8">D9</f>
        <v>0</v>
      </c>
      <c r="V9" s="137">
        <f t="shared" ref="V9:V15" si="9">F9</f>
        <v>58</v>
      </c>
      <c r="W9" s="137">
        <f t="shared" ref="W9:W15" si="10">H9</f>
        <v>57</v>
      </c>
      <c r="X9" s="137">
        <f t="shared" ref="X9:X15" si="11">J9</f>
        <v>55.4</v>
      </c>
      <c r="Y9" s="137">
        <f t="shared" ref="Y9:Y15" si="12">L9</f>
        <v>53.6</v>
      </c>
      <c r="Z9" s="137">
        <f t="shared" ref="Z9:Z15" si="13">N9</f>
        <v>51.4</v>
      </c>
      <c r="AA9" s="138">
        <f t="shared" ref="AA9:AA15" si="14">P9</f>
        <v>48.8</v>
      </c>
      <c r="AB9" s="139">
        <f t="shared" ref="AB9:AB15" si="15">R9</f>
        <v>45.8</v>
      </c>
    </row>
    <row r="10" spans="1:28" ht="20.399999999999999" x14ac:dyDescent="0.35">
      <c r="A10" s="113" t="s">
        <v>21</v>
      </c>
      <c r="B10" s="113">
        <v>75</v>
      </c>
      <c r="C10" s="113"/>
      <c r="D10" s="113"/>
      <c r="E10" s="114">
        <v>2.9</v>
      </c>
      <c r="F10" s="113">
        <f t="shared" si="0"/>
        <v>69.2</v>
      </c>
      <c r="G10" s="114">
        <v>3.6</v>
      </c>
      <c r="H10" s="113">
        <f t="shared" si="1"/>
        <v>67.8</v>
      </c>
      <c r="I10" s="114">
        <v>4.5</v>
      </c>
      <c r="J10" s="113">
        <f t="shared" si="2"/>
        <v>66</v>
      </c>
      <c r="K10" s="113">
        <v>5.5</v>
      </c>
      <c r="L10" s="113">
        <f t="shared" si="3"/>
        <v>64</v>
      </c>
      <c r="M10" s="113">
        <v>6.8</v>
      </c>
      <c r="N10" s="113">
        <f t="shared" si="4"/>
        <v>61.4</v>
      </c>
      <c r="O10" s="114">
        <v>8.4</v>
      </c>
      <c r="P10" s="113">
        <f t="shared" si="5"/>
        <v>58.2</v>
      </c>
      <c r="Q10" s="113">
        <v>10.3</v>
      </c>
      <c r="R10" s="113">
        <f t="shared" si="6"/>
        <v>54.4</v>
      </c>
      <c r="T10" s="136">
        <f t="shared" si="7"/>
        <v>75</v>
      </c>
      <c r="U10" s="137">
        <f t="shared" si="8"/>
        <v>0</v>
      </c>
      <c r="V10" s="137">
        <f t="shared" si="9"/>
        <v>69.2</v>
      </c>
      <c r="W10" s="137">
        <f t="shared" si="10"/>
        <v>67.8</v>
      </c>
      <c r="X10" s="137">
        <f t="shared" si="11"/>
        <v>66</v>
      </c>
      <c r="Y10" s="137">
        <f t="shared" si="12"/>
        <v>64</v>
      </c>
      <c r="Z10" s="137">
        <f t="shared" si="13"/>
        <v>61.4</v>
      </c>
      <c r="AA10" s="138">
        <f t="shared" si="14"/>
        <v>58.2</v>
      </c>
      <c r="AB10" s="139">
        <f t="shared" si="15"/>
        <v>54.4</v>
      </c>
    </row>
    <row r="11" spans="1:28" ht="20.399999999999999" x14ac:dyDescent="0.35">
      <c r="A11" s="113" t="s">
        <v>21</v>
      </c>
      <c r="B11" s="113">
        <v>90</v>
      </c>
      <c r="C11" s="113">
        <v>2.2000000000000002</v>
      </c>
      <c r="D11" s="113">
        <f t="shared" ref="D11:D27" si="16">$B11-C11*2</f>
        <v>85.6</v>
      </c>
      <c r="E11" s="114">
        <v>3.5</v>
      </c>
      <c r="F11" s="113">
        <f t="shared" si="0"/>
        <v>83</v>
      </c>
      <c r="G11" s="114">
        <v>4.3</v>
      </c>
      <c r="H11" s="113">
        <f t="shared" si="1"/>
        <v>81.400000000000006</v>
      </c>
      <c r="I11" s="114">
        <v>5.4</v>
      </c>
      <c r="J11" s="113">
        <f t="shared" si="2"/>
        <v>79.2</v>
      </c>
      <c r="K11" s="113">
        <v>6.6</v>
      </c>
      <c r="L11" s="113">
        <f t="shared" si="3"/>
        <v>76.8</v>
      </c>
      <c r="M11" s="113">
        <v>8.1999999999999993</v>
      </c>
      <c r="N11" s="113">
        <f t="shared" si="4"/>
        <v>73.599999999999994</v>
      </c>
      <c r="O11" s="114">
        <v>10.1</v>
      </c>
      <c r="P11" s="113">
        <f t="shared" si="5"/>
        <v>69.8</v>
      </c>
      <c r="Q11" s="113">
        <v>12.3</v>
      </c>
      <c r="R11" s="113">
        <f t="shared" si="6"/>
        <v>65.400000000000006</v>
      </c>
      <c r="T11" s="136">
        <f t="shared" si="7"/>
        <v>90</v>
      </c>
      <c r="U11" s="137">
        <f t="shared" si="8"/>
        <v>85.6</v>
      </c>
      <c r="V11" s="137">
        <f t="shared" si="9"/>
        <v>83</v>
      </c>
      <c r="W11" s="137">
        <f t="shared" si="10"/>
        <v>81.400000000000006</v>
      </c>
      <c r="X11" s="137">
        <f t="shared" si="11"/>
        <v>79.2</v>
      </c>
      <c r="Y11" s="137">
        <f t="shared" si="12"/>
        <v>76.8</v>
      </c>
      <c r="Z11" s="137">
        <f t="shared" si="13"/>
        <v>73.599999999999994</v>
      </c>
      <c r="AA11" s="138">
        <f t="shared" si="14"/>
        <v>69.8</v>
      </c>
      <c r="AB11" s="139">
        <f t="shared" si="15"/>
        <v>65.400000000000006</v>
      </c>
    </row>
    <row r="12" spans="1:28" ht="20.399999999999999" x14ac:dyDescent="0.35">
      <c r="A12" s="113" t="s">
        <v>21</v>
      </c>
      <c r="B12" s="113">
        <v>110</v>
      </c>
      <c r="C12" s="113">
        <v>2.7</v>
      </c>
      <c r="D12" s="113">
        <f t="shared" si="16"/>
        <v>104.6</v>
      </c>
      <c r="E12" s="114">
        <v>4.2</v>
      </c>
      <c r="F12" s="113">
        <f t="shared" si="0"/>
        <v>101.6</v>
      </c>
      <c r="G12" s="114">
        <v>5.3</v>
      </c>
      <c r="H12" s="113">
        <f t="shared" si="1"/>
        <v>99.4</v>
      </c>
      <c r="I12" s="114">
        <v>6.6</v>
      </c>
      <c r="J12" s="113">
        <f t="shared" si="2"/>
        <v>96.8</v>
      </c>
      <c r="K12" s="113">
        <v>8.1</v>
      </c>
      <c r="L12" s="113">
        <f t="shared" si="3"/>
        <v>93.8</v>
      </c>
      <c r="M12" s="113">
        <v>10</v>
      </c>
      <c r="N12" s="113">
        <f t="shared" si="4"/>
        <v>90</v>
      </c>
      <c r="O12" s="114">
        <v>12.3</v>
      </c>
      <c r="P12" s="113">
        <f t="shared" si="5"/>
        <v>85.4</v>
      </c>
      <c r="Q12" s="113">
        <v>15.1</v>
      </c>
      <c r="R12" s="113">
        <f t="shared" si="6"/>
        <v>79.8</v>
      </c>
      <c r="T12" s="136">
        <f t="shared" si="7"/>
        <v>110</v>
      </c>
      <c r="U12" s="137">
        <f t="shared" si="8"/>
        <v>104.6</v>
      </c>
      <c r="V12" s="137">
        <f t="shared" si="9"/>
        <v>101.6</v>
      </c>
      <c r="W12" s="137">
        <f t="shared" si="10"/>
        <v>99.4</v>
      </c>
      <c r="X12" s="137">
        <f t="shared" si="11"/>
        <v>96.8</v>
      </c>
      <c r="Y12" s="137">
        <f t="shared" si="12"/>
        <v>93.8</v>
      </c>
      <c r="Z12" s="137">
        <f t="shared" si="13"/>
        <v>90</v>
      </c>
      <c r="AA12" s="138">
        <f t="shared" si="14"/>
        <v>85.4</v>
      </c>
      <c r="AB12" s="139">
        <f t="shared" si="15"/>
        <v>79.8</v>
      </c>
    </row>
    <row r="13" spans="1:28" ht="20.399999999999999" x14ac:dyDescent="0.35">
      <c r="A13" s="113" t="s">
        <v>21</v>
      </c>
      <c r="B13" s="113">
        <v>125</v>
      </c>
      <c r="C13" s="113">
        <v>3.1</v>
      </c>
      <c r="D13" s="113">
        <f t="shared" si="16"/>
        <v>118.8</v>
      </c>
      <c r="E13" s="114">
        <v>4.8</v>
      </c>
      <c r="F13" s="113">
        <f t="shared" si="0"/>
        <v>115.4</v>
      </c>
      <c r="G13" s="114">
        <v>6</v>
      </c>
      <c r="H13" s="113">
        <f t="shared" si="1"/>
        <v>113</v>
      </c>
      <c r="I13" s="114">
        <v>7.4</v>
      </c>
      <c r="J13" s="113">
        <f t="shared" si="2"/>
        <v>110.2</v>
      </c>
      <c r="K13" s="113">
        <v>9.1999999999999993</v>
      </c>
      <c r="L13" s="113">
        <f t="shared" si="3"/>
        <v>106.6</v>
      </c>
      <c r="M13" s="113">
        <v>11.4</v>
      </c>
      <c r="N13" s="113">
        <f t="shared" si="4"/>
        <v>102.2</v>
      </c>
      <c r="O13" s="114">
        <v>14</v>
      </c>
      <c r="P13" s="113">
        <f t="shared" si="5"/>
        <v>97</v>
      </c>
      <c r="Q13" s="113">
        <v>17.100000000000001</v>
      </c>
      <c r="R13" s="113">
        <f t="shared" si="6"/>
        <v>90.8</v>
      </c>
      <c r="T13" s="136">
        <f t="shared" si="7"/>
        <v>125</v>
      </c>
      <c r="U13" s="137">
        <f t="shared" si="8"/>
        <v>118.8</v>
      </c>
      <c r="V13" s="137">
        <f t="shared" si="9"/>
        <v>115.4</v>
      </c>
      <c r="W13" s="137">
        <f t="shared" si="10"/>
        <v>113</v>
      </c>
      <c r="X13" s="137">
        <f t="shared" si="11"/>
        <v>110.2</v>
      </c>
      <c r="Y13" s="137">
        <f t="shared" si="12"/>
        <v>106.6</v>
      </c>
      <c r="Z13" s="137">
        <f t="shared" si="13"/>
        <v>102.2</v>
      </c>
      <c r="AA13" s="138">
        <f t="shared" si="14"/>
        <v>97</v>
      </c>
      <c r="AB13" s="139">
        <f t="shared" si="15"/>
        <v>90.8</v>
      </c>
    </row>
    <row r="14" spans="1:28" ht="20.399999999999999" x14ac:dyDescent="0.35">
      <c r="A14" s="113" t="s">
        <v>21</v>
      </c>
      <c r="B14" s="113">
        <v>140</v>
      </c>
      <c r="C14" s="113">
        <v>3.5</v>
      </c>
      <c r="D14" s="113">
        <f t="shared" si="16"/>
        <v>133</v>
      </c>
      <c r="E14" s="114">
        <v>5.4</v>
      </c>
      <c r="F14" s="113">
        <f t="shared" si="0"/>
        <v>129.19999999999999</v>
      </c>
      <c r="G14" s="114">
        <v>6.7</v>
      </c>
      <c r="H14" s="113">
        <f t="shared" si="1"/>
        <v>126.6</v>
      </c>
      <c r="I14" s="114">
        <v>8.3000000000000007</v>
      </c>
      <c r="J14" s="113">
        <f t="shared" si="2"/>
        <v>123.4</v>
      </c>
      <c r="K14" s="113">
        <v>10.3</v>
      </c>
      <c r="L14" s="113">
        <f t="shared" si="3"/>
        <v>119.4</v>
      </c>
      <c r="M14" s="113">
        <v>12.7</v>
      </c>
      <c r="N14" s="113">
        <f t="shared" si="4"/>
        <v>114.6</v>
      </c>
      <c r="O14" s="114">
        <v>15.7</v>
      </c>
      <c r="P14" s="113">
        <f t="shared" si="5"/>
        <v>108.6</v>
      </c>
      <c r="Q14" s="113">
        <v>19.2</v>
      </c>
      <c r="R14" s="113">
        <f t="shared" si="6"/>
        <v>101.6</v>
      </c>
      <c r="T14" s="136">
        <f t="shared" si="7"/>
        <v>140</v>
      </c>
      <c r="U14" s="137">
        <f t="shared" si="8"/>
        <v>133</v>
      </c>
      <c r="V14" s="137">
        <f t="shared" si="9"/>
        <v>129.19999999999999</v>
      </c>
      <c r="W14" s="137">
        <f t="shared" si="10"/>
        <v>126.6</v>
      </c>
      <c r="X14" s="137">
        <f t="shared" si="11"/>
        <v>123.4</v>
      </c>
      <c r="Y14" s="137">
        <f t="shared" si="12"/>
        <v>119.4</v>
      </c>
      <c r="Z14" s="137">
        <f t="shared" si="13"/>
        <v>114.6</v>
      </c>
      <c r="AA14" s="138">
        <f t="shared" si="14"/>
        <v>108.6</v>
      </c>
      <c r="AB14" s="139">
        <f t="shared" si="15"/>
        <v>101.6</v>
      </c>
    </row>
    <row r="15" spans="1:28" ht="20.399999999999999" x14ac:dyDescent="0.35">
      <c r="A15" s="113" t="s">
        <v>21</v>
      </c>
      <c r="B15" s="113">
        <v>160</v>
      </c>
      <c r="C15" s="113">
        <v>3.9</v>
      </c>
      <c r="D15" s="113">
        <f t="shared" si="16"/>
        <v>152.19999999999999</v>
      </c>
      <c r="E15" s="114">
        <v>6.2</v>
      </c>
      <c r="F15" s="113">
        <f t="shared" si="0"/>
        <v>147.6</v>
      </c>
      <c r="G15" s="114">
        <v>7.6</v>
      </c>
      <c r="H15" s="113">
        <f t="shared" si="1"/>
        <v>144.80000000000001</v>
      </c>
      <c r="I15" s="114">
        <v>9.5</v>
      </c>
      <c r="J15" s="113">
        <f t="shared" si="2"/>
        <v>141</v>
      </c>
      <c r="K15" s="113">
        <v>11.8</v>
      </c>
      <c r="L15" s="113">
        <f t="shared" si="3"/>
        <v>136.4</v>
      </c>
      <c r="M15" s="113">
        <v>14.6</v>
      </c>
      <c r="N15" s="113">
        <f t="shared" si="4"/>
        <v>130.80000000000001</v>
      </c>
      <c r="O15" s="114">
        <v>17.899999999999999</v>
      </c>
      <c r="P15" s="113">
        <f t="shared" si="5"/>
        <v>124.2</v>
      </c>
      <c r="Q15" s="113">
        <v>21.9</v>
      </c>
      <c r="R15" s="113">
        <f t="shared" si="6"/>
        <v>116.2</v>
      </c>
      <c r="T15" s="136">
        <f t="shared" si="7"/>
        <v>160</v>
      </c>
      <c r="U15" s="137">
        <f t="shared" si="8"/>
        <v>152.19999999999999</v>
      </c>
      <c r="V15" s="137">
        <f t="shared" si="9"/>
        <v>147.6</v>
      </c>
      <c r="W15" s="137">
        <f t="shared" si="10"/>
        <v>144.80000000000001</v>
      </c>
      <c r="X15" s="137">
        <f t="shared" si="11"/>
        <v>141</v>
      </c>
      <c r="Y15" s="137">
        <f t="shared" si="12"/>
        <v>136.4</v>
      </c>
      <c r="Z15" s="137">
        <f t="shared" si="13"/>
        <v>130.80000000000001</v>
      </c>
      <c r="AA15" s="138">
        <f t="shared" si="14"/>
        <v>124.2</v>
      </c>
      <c r="AB15" s="139">
        <f t="shared" si="15"/>
        <v>116.2</v>
      </c>
    </row>
    <row r="16" spans="1:28" ht="20.399999999999999" x14ac:dyDescent="0.35">
      <c r="A16" s="113" t="s">
        <v>21</v>
      </c>
      <c r="B16" s="113">
        <v>180</v>
      </c>
      <c r="C16" s="113">
        <v>4.4000000000000004</v>
      </c>
      <c r="D16" s="113">
        <f t="shared" si="16"/>
        <v>171.2</v>
      </c>
      <c r="E16" s="114">
        <v>6.9</v>
      </c>
      <c r="F16" s="113">
        <f t="shared" si="0"/>
        <v>166.2</v>
      </c>
      <c r="G16" s="114">
        <v>8.6</v>
      </c>
      <c r="H16" s="113">
        <f t="shared" si="1"/>
        <v>162.80000000000001</v>
      </c>
      <c r="I16" s="114">
        <v>10.7</v>
      </c>
      <c r="J16" s="113">
        <f t="shared" si="2"/>
        <v>158.6</v>
      </c>
      <c r="K16" s="113">
        <v>13.3</v>
      </c>
      <c r="L16" s="113">
        <f t="shared" si="3"/>
        <v>153.4</v>
      </c>
      <c r="M16" s="113">
        <v>16.399999999999999</v>
      </c>
      <c r="N16" s="113">
        <f t="shared" si="4"/>
        <v>147.19999999999999</v>
      </c>
      <c r="O16" s="114">
        <v>20.100000000000001</v>
      </c>
      <c r="P16" s="113">
        <f t="shared" si="5"/>
        <v>139.80000000000001</v>
      </c>
      <c r="Q16" s="113">
        <v>24.6</v>
      </c>
      <c r="R16" s="113">
        <f t="shared" si="6"/>
        <v>130.80000000000001</v>
      </c>
      <c r="T16" s="136">
        <f t="shared" ref="T16:T41" si="17">B16</f>
        <v>180</v>
      </c>
      <c r="U16" s="137">
        <f t="shared" ref="U16:U23" si="18">D16</f>
        <v>171.2</v>
      </c>
      <c r="V16" s="137">
        <f t="shared" ref="V16:V23" si="19">F16</f>
        <v>166.2</v>
      </c>
      <c r="W16" s="137">
        <f t="shared" ref="W16:W23" si="20">H16</f>
        <v>162.80000000000001</v>
      </c>
      <c r="X16" s="137">
        <f t="shared" ref="X16:X23" si="21">J16</f>
        <v>158.6</v>
      </c>
      <c r="Y16" s="137">
        <f t="shared" ref="Y16:Y23" si="22">L16</f>
        <v>153.4</v>
      </c>
      <c r="Z16" s="137">
        <f t="shared" ref="Z16:Z23" si="23">N16</f>
        <v>147.19999999999999</v>
      </c>
      <c r="AA16" s="138">
        <f t="shared" ref="AA16:AA23" si="24">P16</f>
        <v>139.80000000000001</v>
      </c>
      <c r="AB16" s="139">
        <f t="shared" ref="AB16:AB41" si="25">R16</f>
        <v>130.80000000000001</v>
      </c>
    </row>
    <row r="17" spans="1:28" ht="20.399999999999999" x14ac:dyDescent="0.35">
      <c r="A17" s="113" t="s">
        <v>21</v>
      </c>
      <c r="B17" s="113">
        <v>200</v>
      </c>
      <c r="C17" s="113">
        <v>4.9000000000000004</v>
      </c>
      <c r="D17" s="113">
        <f t="shared" si="16"/>
        <v>190.2</v>
      </c>
      <c r="E17" s="114">
        <v>7.7</v>
      </c>
      <c r="F17" s="113">
        <f t="shared" si="0"/>
        <v>184.6</v>
      </c>
      <c r="G17" s="114">
        <v>9.6</v>
      </c>
      <c r="H17" s="113">
        <f t="shared" si="1"/>
        <v>180.8</v>
      </c>
      <c r="I17" s="114">
        <v>11.9</v>
      </c>
      <c r="J17" s="113">
        <f t="shared" si="2"/>
        <v>176.2</v>
      </c>
      <c r="K17" s="113">
        <v>14.7</v>
      </c>
      <c r="L17" s="113">
        <f t="shared" si="3"/>
        <v>170.6</v>
      </c>
      <c r="M17" s="113">
        <v>18.2</v>
      </c>
      <c r="N17" s="113">
        <f t="shared" si="4"/>
        <v>163.6</v>
      </c>
      <c r="O17" s="114">
        <v>22.4</v>
      </c>
      <c r="P17" s="113">
        <f t="shared" si="5"/>
        <v>155.19999999999999</v>
      </c>
      <c r="Q17" s="113">
        <v>27.4</v>
      </c>
      <c r="R17" s="113">
        <f t="shared" si="6"/>
        <v>145.19999999999999</v>
      </c>
      <c r="T17" s="136">
        <f t="shared" si="17"/>
        <v>200</v>
      </c>
      <c r="U17" s="137">
        <f t="shared" si="18"/>
        <v>190.2</v>
      </c>
      <c r="V17" s="137">
        <f t="shared" si="19"/>
        <v>184.6</v>
      </c>
      <c r="W17" s="137">
        <f t="shared" si="20"/>
        <v>180.8</v>
      </c>
      <c r="X17" s="137">
        <f t="shared" si="21"/>
        <v>176.2</v>
      </c>
      <c r="Y17" s="137">
        <f t="shared" si="22"/>
        <v>170.6</v>
      </c>
      <c r="Z17" s="137">
        <f t="shared" si="23"/>
        <v>163.6</v>
      </c>
      <c r="AA17" s="138">
        <f t="shared" si="24"/>
        <v>155.19999999999999</v>
      </c>
      <c r="AB17" s="139">
        <f t="shared" si="25"/>
        <v>145.19999999999999</v>
      </c>
    </row>
    <row r="18" spans="1:28" ht="20.399999999999999" x14ac:dyDescent="0.35">
      <c r="A18" s="113" t="s">
        <v>21</v>
      </c>
      <c r="B18" s="113">
        <v>225</v>
      </c>
      <c r="C18" s="113">
        <v>5.5</v>
      </c>
      <c r="D18" s="113">
        <f t="shared" si="16"/>
        <v>214</v>
      </c>
      <c r="E18" s="114">
        <v>8.6</v>
      </c>
      <c r="F18" s="113">
        <f t="shared" si="0"/>
        <v>207.8</v>
      </c>
      <c r="G18" s="114">
        <v>10.8</v>
      </c>
      <c r="H18" s="113">
        <f t="shared" si="1"/>
        <v>203.4</v>
      </c>
      <c r="I18" s="114">
        <v>13.4</v>
      </c>
      <c r="J18" s="113">
        <f t="shared" si="2"/>
        <v>198.2</v>
      </c>
      <c r="K18" s="113">
        <v>16.600000000000001</v>
      </c>
      <c r="L18" s="113">
        <f t="shared" si="3"/>
        <v>191.8</v>
      </c>
      <c r="M18" s="113">
        <v>20.5</v>
      </c>
      <c r="N18" s="113">
        <f t="shared" si="4"/>
        <v>184</v>
      </c>
      <c r="O18" s="114">
        <v>25.1</v>
      </c>
      <c r="P18" s="113">
        <f t="shared" si="5"/>
        <v>174.8</v>
      </c>
      <c r="Q18" s="113">
        <v>30.8</v>
      </c>
      <c r="R18" s="113">
        <f t="shared" si="6"/>
        <v>163.4</v>
      </c>
      <c r="T18" s="136">
        <f t="shared" si="17"/>
        <v>225</v>
      </c>
      <c r="U18" s="137">
        <f t="shared" si="18"/>
        <v>214</v>
      </c>
      <c r="V18" s="137">
        <f t="shared" si="19"/>
        <v>207.8</v>
      </c>
      <c r="W18" s="137">
        <f t="shared" si="20"/>
        <v>203.4</v>
      </c>
      <c r="X18" s="137">
        <f t="shared" si="21"/>
        <v>198.2</v>
      </c>
      <c r="Y18" s="137">
        <f t="shared" si="22"/>
        <v>191.8</v>
      </c>
      <c r="Z18" s="137">
        <f t="shared" si="23"/>
        <v>184</v>
      </c>
      <c r="AA18" s="138">
        <f t="shared" si="24"/>
        <v>174.8</v>
      </c>
      <c r="AB18" s="139">
        <f t="shared" si="25"/>
        <v>163.4</v>
      </c>
    </row>
    <row r="19" spans="1:28" ht="20.399999999999999" x14ac:dyDescent="0.35">
      <c r="A19" s="113" t="s">
        <v>21</v>
      </c>
      <c r="B19" s="113">
        <v>250</v>
      </c>
      <c r="C19" s="113">
        <v>6.1</v>
      </c>
      <c r="D19" s="113">
        <f t="shared" si="16"/>
        <v>237.8</v>
      </c>
      <c r="E19" s="114">
        <v>9.6</v>
      </c>
      <c r="F19" s="113">
        <f t="shared" si="0"/>
        <v>230.8</v>
      </c>
      <c r="G19" s="114">
        <v>11.9</v>
      </c>
      <c r="H19" s="113">
        <f t="shared" si="1"/>
        <v>226.2</v>
      </c>
      <c r="I19" s="114">
        <v>14.8</v>
      </c>
      <c r="J19" s="113">
        <f t="shared" si="2"/>
        <v>220.4</v>
      </c>
      <c r="K19" s="113">
        <v>18.399999999999999</v>
      </c>
      <c r="L19" s="113">
        <f t="shared" si="3"/>
        <v>213.2</v>
      </c>
      <c r="M19" s="113">
        <v>22.7</v>
      </c>
      <c r="N19" s="113">
        <f t="shared" si="4"/>
        <v>204.6</v>
      </c>
      <c r="O19" s="114">
        <v>27.9</v>
      </c>
      <c r="P19" s="113">
        <f t="shared" si="5"/>
        <v>194.2</v>
      </c>
      <c r="Q19" s="113">
        <v>34.200000000000003</v>
      </c>
      <c r="R19" s="113">
        <f t="shared" si="6"/>
        <v>181.6</v>
      </c>
      <c r="T19" s="136">
        <f t="shared" si="17"/>
        <v>250</v>
      </c>
      <c r="U19" s="137">
        <f t="shared" si="18"/>
        <v>237.8</v>
      </c>
      <c r="V19" s="137">
        <f t="shared" si="19"/>
        <v>230.8</v>
      </c>
      <c r="W19" s="137">
        <f t="shared" si="20"/>
        <v>226.2</v>
      </c>
      <c r="X19" s="137">
        <f t="shared" si="21"/>
        <v>220.4</v>
      </c>
      <c r="Y19" s="137">
        <f t="shared" si="22"/>
        <v>213.2</v>
      </c>
      <c r="Z19" s="137">
        <f t="shared" si="23"/>
        <v>204.6</v>
      </c>
      <c r="AA19" s="138">
        <f t="shared" si="24"/>
        <v>194.2</v>
      </c>
      <c r="AB19" s="139">
        <f t="shared" si="25"/>
        <v>181.6</v>
      </c>
    </row>
    <row r="20" spans="1:28" ht="20.399999999999999" x14ac:dyDescent="0.35">
      <c r="A20" s="113" t="s">
        <v>21</v>
      </c>
      <c r="B20" s="113">
        <v>280</v>
      </c>
      <c r="C20" s="113">
        <v>6.9</v>
      </c>
      <c r="D20" s="113">
        <f t="shared" si="16"/>
        <v>266.2</v>
      </c>
      <c r="E20" s="114">
        <v>10.7</v>
      </c>
      <c r="F20" s="113">
        <f t="shared" si="0"/>
        <v>258.60000000000002</v>
      </c>
      <c r="G20" s="114">
        <v>13.4</v>
      </c>
      <c r="H20" s="113">
        <f t="shared" si="1"/>
        <v>253.2</v>
      </c>
      <c r="I20" s="114">
        <v>16.600000000000001</v>
      </c>
      <c r="J20" s="113">
        <f t="shared" si="2"/>
        <v>246.8</v>
      </c>
      <c r="K20" s="113">
        <v>20.6</v>
      </c>
      <c r="L20" s="113">
        <f t="shared" si="3"/>
        <v>238.8</v>
      </c>
      <c r="M20" s="113">
        <v>25.4</v>
      </c>
      <c r="N20" s="113">
        <f t="shared" si="4"/>
        <v>229.2</v>
      </c>
      <c r="O20" s="114">
        <v>31.2</v>
      </c>
      <c r="P20" s="113">
        <f t="shared" si="5"/>
        <v>217.6</v>
      </c>
      <c r="Q20" s="115"/>
      <c r="R20" s="113">
        <f t="shared" si="6"/>
        <v>280</v>
      </c>
      <c r="T20" s="136">
        <f t="shared" si="17"/>
        <v>280</v>
      </c>
      <c r="U20" s="137">
        <f t="shared" si="18"/>
        <v>266.2</v>
      </c>
      <c r="V20" s="137">
        <f t="shared" si="19"/>
        <v>258.60000000000002</v>
      </c>
      <c r="W20" s="137">
        <f t="shared" si="20"/>
        <v>253.2</v>
      </c>
      <c r="X20" s="137">
        <f t="shared" si="21"/>
        <v>246.8</v>
      </c>
      <c r="Y20" s="137">
        <f t="shared" si="22"/>
        <v>238.8</v>
      </c>
      <c r="Z20" s="137">
        <f t="shared" si="23"/>
        <v>229.2</v>
      </c>
      <c r="AA20" s="138">
        <f t="shared" si="24"/>
        <v>217.6</v>
      </c>
      <c r="AB20" s="139">
        <f t="shared" si="25"/>
        <v>280</v>
      </c>
    </row>
    <row r="21" spans="1:28" ht="20.399999999999999" x14ac:dyDescent="0.35">
      <c r="A21" s="113" t="s">
        <v>21</v>
      </c>
      <c r="B21" s="113">
        <v>315</v>
      </c>
      <c r="C21" s="113">
        <v>7.7</v>
      </c>
      <c r="D21" s="113">
        <f t="shared" si="16"/>
        <v>299.60000000000002</v>
      </c>
      <c r="E21" s="114">
        <v>12.1</v>
      </c>
      <c r="F21" s="113">
        <f t="shared" si="0"/>
        <v>290.8</v>
      </c>
      <c r="G21" s="114">
        <v>15</v>
      </c>
      <c r="H21" s="113">
        <f t="shared" si="1"/>
        <v>285</v>
      </c>
      <c r="I21" s="114">
        <v>18.7</v>
      </c>
      <c r="J21" s="113">
        <f t="shared" si="2"/>
        <v>277.60000000000002</v>
      </c>
      <c r="K21" s="113">
        <v>23.3</v>
      </c>
      <c r="L21" s="113">
        <f t="shared" si="3"/>
        <v>268.39999999999998</v>
      </c>
      <c r="M21" s="113">
        <v>28.6</v>
      </c>
      <c r="N21" s="113">
        <f t="shared" si="4"/>
        <v>257.8</v>
      </c>
      <c r="O21" s="114">
        <v>35</v>
      </c>
      <c r="P21" s="113">
        <f t="shared" si="5"/>
        <v>245</v>
      </c>
      <c r="Q21" s="115"/>
      <c r="R21" s="113">
        <f t="shared" si="6"/>
        <v>315</v>
      </c>
      <c r="T21" s="136">
        <f t="shared" si="17"/>
        <v>315</v>
      </c>
      <c r="U21" s="137">
        <f t="shared" si="18"/>
        <v>299.60000000000002</v>
      </c>
      <c r="V21" s="137">
        <f t="shared" si="19"/>
        <v>290.8</v>
      </c>
      <c r="W21" s="137">
        <f t="shared" si="20"/>
        <v>285</v>
      </c>
      <c r="X21" s="137">
        <f t="shared" si="21"/>
        <v>277.60000000000002</v>
      </c>
      <c r="Y21" s="137">
        <f t="shared" si="22"/>
        <v>268.39999999999998</v>
      </c>
      <c r="Z21" s="137">
        <f t="shared" si="23"/>
        <v>257.8</v>
      </c>
      <c r="AA21" s="138">
        <f t="shared" si="24"/>
        <v>245</v>
      </c>
      <c r="AB21" s="139">
        <f t="shared" si="25"/>
        <v>315</v>
      </c>
    </row>
    <row r="22" spans="1:28" ht="20.399999999999999" x14ac:dyDescent="0.35">
      <c r="A22" s="113" t="s">
        <v>21</v>
      </c>
      <c r="B22" s="113">
        <v>355</v>
      </c>
      <c r="C22" s="113">
        <v>8.6999999999999993</v>
      </c>
      <c r="D22" s="113">
        <f t="shared" si="16"/>
        <v>337.6</v>
      </c>
      <c r="E22" s="114">
        <v>13.6</v>
      </c>
      <c r="F22" s="113">
        <f t="shared" si="0"/>
        <v>327.8</v>
      </c>
      <c r="G22" s="114">
        <v>16.899999999999999</v>
      </c>
      <c r="H22" s="113">
        <f t="shared" si="1"/>
        <v>321.2</v>
      </c>
      <c r="I22" s="114">
        <v>21.1</v>
      </c>
      <c r="J22" s="113">
        <f t="shared" si="2"/>
        <v>312.8</v>
      </c>
      <c r="K22" s="113">
        <v>26.1</v>
      </c>
      <c r="L22" s="113">
        <f t="shared" si="3"/>
        <v>302.8</v>
      </c>
      <c r="M22" s="113">
        <v>32.299999999999997</v>
      </c>
      <c r="N22" s="113">
        <f t="shared" si="4"/>
        <v>290.39999999999998</v>
      </c>
      <c r="O22" s="114">
        <v>39.5</v>
      </c>
      <c r="P22" s="113">
        <f t="shared" si="5"/>
        <v>276</v>
      </c>
      <c r="Q22" s="115"/>
      <c r="R22" s="113">
        <f t="shared" si="6"/>
        <v>355</v>
      </c>
      <c r="T22" s="136">
        <f t="shared" si="17"/>
        <v>355</v>
      </c>
      <c r="U22" s="137">
        <f t="shared" si="18"/>
        <v>337.6</v>
      </c>
      <c r="V22" s="137">
        <f t="shared" si="19"/>
        <v>327.8</v>
      </c>
      <c r="W22" s="137">
        <f t="shared" si="20"/>
        <v>321.2</v>
      </c>
      <c r="X22" s="137">
        <f t="shared" si="21"/>
        <v>312.8</v>
      </c>
      <c r="Y22" s="137">
        <f t="shared" si="22"/>
        <v>302.8</v>
      </c>
      <c r="Z22" s="137">
        <f t="shared" si="23"/>
        <v>290.39999999999998</v>
      </c>
      <c r="AA22" s="138">
        <f t="shared" si="24"/>
        <v>276</v>
      </c>
      <c r="AB22" s="139">
        <f t="shared" si="25"/>
        <v>355</v>
      </c>
    </row>
    <row r="23" spans="1:28" ht="20.399999999999999" x14ac:dyDescent="0.35">
      <c r="A23" s="113" t="s">
        <v>21</v>
      </c>
      <c r="B23" s="113">
        <v>400</v>
      </c>
      <c r="C23" s="113">
        <v>9.8000000000000007</v>
      </c>
      <c r="D23" s="113">
        <f t="shared" si="16"/>
        <v>380.4</v>
      </c>
      <c r="E23" s="114">
        <v>15.3</v>
      </c>
      <c r="F23" s="113">
        <f t="shared" si="0"/>
        <v>369.4</v>
      </c>
      <c r="G23" s="114">
        <v>19.100000000000001</v>
      </c>
      <c r="H23" s="113">
        <f t="shared" si="1"/>
        <v>361.8</v>
      </c>
      <c r="I23" s="114">
        <v>23.7</v>
      </c>
      <c r="J23" s="113">
        <f t="shared" si="2"/>
        <v>352.6</v>
      </c>
      <c r="K23" s="113">
        <v>29.4</v>
      </c>
      <c r="L23" s="113">
        <f t="shared" si="3"/>
        <v>341.2</v>
      </c>
      <c r="M23" s="113">
        <v>36.4</v>
      </c>
      <c r="N23" s="113">
        <f t="shared" si="4"/>
        <v>327.2</v>
      </c>
      <c r="O23" s="114">
        <v>44.5</v>
      </c>
      <c r="P23" s="113">
        <f t="shared" si="5"/>
        <v>311</v>
      </c>
      <c r="Q23" s="115"/>
      <c r="R23" s="113">
        <f t="shared" si="6"/>
        <v>400</v>
      </c>
      <c r="T23" s="136">
        <f t="shared" si="17"/>
        <v>400</v>
      </c>
      <c r="U23" s="137">
        <f t="shared" si="18"/>
        <v>380.4</v>
      </c>
      <c r="V23" s="137">
        <f t="shared" si="19"/>
        <v>369.4</v>
      </c>
      <c r="W23" s="137">
        <f t="shared" si="20"/>
        <v>361.8</v>
      </c>
      <c r="X23" s="137">
        <f t="shared" si="21"/>
        <v>352.6</v>
      </c>
      <c r="Y23" s="137">
        <f t="shared" si="22"/>
        <v>341.2</v>
      </c>
      <c r="Z23" s="137">
        <f t="shared" si="23"/>
        <v>327.2</v>
      </c>
      <c r="AA23" s="138">
        <f t="shared" si="24"/>
        <v>311</v>
      </c>
      <c r="AB23" s="139">
        <f t="shared" si="25"/>
        <v>400</v>
      </c>
    </row>
    <row r="24" spans="1:28" ht="20.399999999999999" x14ac:dyDescent="0.35">
      <c r="A24" s="113" t="s">
        <v>21</v>
      </c>
      <c r="B24" s="113">
        <v>450</v>
      </c>
      <c r="C24" s="113">
        <v>11</v>
      </c>
      <c r="D24" s="113">
        <f t="shared" si="16"/>
        <v>428</v>
      </c>
      <c r="E24" s="114">
        <v>17.2</v>
      </c>
      <c r="F24" s="113">
        <f t="shared" si="0"/>
        <v>415.6</v>
      </c>
      <c r="G24" s="114">
        <v>21.5</v>
      </c>
      <c r="H24" s="113">
        <f t="shared" si="1"/>
        <v>407</v>
      </c>
      <c r="I24" s="114">
        <v>26.7</v>
      </c>
      <c r="J24" s="113">
        <f t="shared" si="2"/>
        <v>396.6</v>
      </c>
      <c r="K24" s="113">
        <v>33.1</v>
      </c>
      <c r="L24" s="113">
        <f t="shared" si="3"/>
        <v>383.8</v>
      </c>
      <c r="M24" s="113">
        <v>40.9</v>
      </c>
      <c r="N24" s="113">
        <f t="shared" si="4"/>
        <v>368.2</v>
      </c>
      <c r="O24" s="114">
        <v>50</v>
      </c>
      <c r="P24" s="113">
        <f t="shared" si="5"/>
        <v>350</v>
      </c>
      <c r="Q24" s="115"/>
      <c r="R24" s="113">
        <f t="shared" si="6"/>
        <v>450</v>
      </c>
      <c r="T24" s="136">
        <f t="shared" ref="T24:T27" si="26">B24</f>
        <v>450</v>
      </c>
      <c r="U24" s="137">
        <f t="shared" ref="U24:U27" si="27">D24</f>
        <v>428</v>
      </c>
      <c r="V24" s="137">
        <f t="shared" ref="V24:V27" si="28">F24</f>
        <v>415.6</v>
      </c>
      <c r="W24" s="137">
        <f t="shared" ref="W24:W27" si="29">H24</f>
        <v>407</v>
      </c>
      <c r="X24" s="137">
        <f t="shared" ref="X24:X27" si="30">J24</f>
        <v>396.6</v>
      </c>
      <c r="Y24" s="137">
        <f t="shared" ref="Y24:Y27" si="31">L24</f>
        <v>383.8</v>
      </c>
      <c r="Z24" s="137">
        <f t="shared" ref="Z24:Z27" si="32">N24</f>
        <v>368.2</v>
      </c>
      <c r="AA24" s="138">
        <f t="shared" ref="AA24:AA27" si="33">P24</f>
        <v>350</v>
      </c>
      <c r="AB24" s="139">
        <f t="shared" ref="AB24:AB27" si="34">R24</f>
        <v>450</v>
      </c>
    </row>
    <row r="25" spans="1:28" ht="20.399999999999999" x14ac:dyDescent="0.35">
      <c r="A25" s="113" t="s">
        <v>21</v>
      </c>
      <c r="B25" s="113">
        <v>500</v>
      </c>
      <c r="C25" s="113">
        <v>12.2</v>
      </c>
      <c r="D25" s="113">
        <f t="shared" si="16"/>
        <v>475.6</v>
      </c>
      <c r="E25" s="114">
        <v>19.100000000000001</v>
      </c>
      <c r="F25" s="113">
        <f t="shared" si="0"/>
        <v>461.8</v>
      </c>
      <c r="G25" s="114">
        <v>23.9</v>
      </c>
      <c r="H25" s="113">
        <f t="shared" si="1"/>
        <v>452.2</v>
      </c>
      <c r="I25" s="114">
        <v>29.6</v>
      </c>
      <c r="J25" s="113">
        <f t="shared" si="2"/>
        <v>440.8</v>
      </c>
      <c r="K25" s="113">
        <v>36.799999999999997</v>
      </c>
      <c r="L25" s="113">
        <f t="shared" si="3"/>
        <v>426.4</v>
      </c>
      <c r="M25" s="113">
        <v>45.5</v>
      </c>
      <c r="N25" s="113">
        <f t="shared" si="4"/>
        <v>409</v>
      </c>
      <c r="O25" s="114">
        <v>55.6</v>
      </c>
      <c r="P25" s="113">
        <f t="shared" si="5"/>
        <v>388.8</v>
      </c>
      <c r="Q25" s="115"/>
      <c r="R25" s="113">
        <f t="shared" si="6"/>
        <v>500</v>
      </c>
      <c r="T25" s="136">
        <f t="shared" si="26"/>
        <v>500</v>
      </c>
      <c r="U25" s="137">
        <f t="shared" si="27"/>
        <v>475.6</v>
      </c>
      <c r="V25" s="137">
        <f t="shared" si="28"/>
        <v>461.8</v>
      </c>
      <c r="W25" s="137">
        <f t="shared" si="29"/>
        <v>452.2</v>
      </c>
      <c r="X25" s="137">
        <f t="shared" si="30"/>
        <v>440.8</v>
      </c>
      <c r="Y25" s="137">
        <f t="shared" si="31"/>
        <v>426.4</v>
      </c>
      <c r="Z25" s="137">
        <f t="shared" si="32"/>
        <v>409</v>
      </c>
      <c r="AA25" s="138">
        <f t="shared" si="33"/>
        <v>388.8</v>
      </c>
      <c r="AB25" s="139">
        <f t="shared" si="34"/>
        <v>500</v>
      </c>
    </row>
    <row r="26" spans="1:28" ht="20.399999999999999" x14ac:dyDescent="0.35">
      <c r="A26" s="113" t="s">
        <v>21</v>
      </c>
      <c r="B26" s="113">
        <v>560</v>
      </c>
      <c r="C26" s="113">
        <v>13.7</v>
      </c>
      <c r="D26" s="113">
        <f t="shared" si="16"/>
        <v>532.6</v>
      </c>
      <c r="E26" s="114">
        <v>21.4</v>
      </c>
      <c r="F26" s="113">
        <f t="shared" si="0"/>
        <v>517.20000000000005</v>
      </c>
      <c r="G26" s="114">
        <v>26.7</v>
      </c>
      <c r="H26" s="113">
        <f t="shared" si="1"/>
        <v>506.6</v>
      </c>
      <c r="I26" s="114">
        <v>33.200000000000003</v>
      </c>
      <c r="J26" s="113">
        <f t="shared" si="2"/>
        <v>493.6</v>
      </c>
      <c r="K26" s="113">
        <v>41.2</v>
      </c>
      <c r="L26" s="113">
        <f t="shared" si="3"/>
        <v>477.6</v>
      </c>
      <c r="M26" s="113">
        <v>50.9</v>
      </c>
      <c r="N26" s="113">
        <f t="shared" si="4"/>
        <v>458.2</v>
      </c>
      <c r="O26" s="114"/>
      <c r="P26" s="113">
        <f t="shared" si="5"/>
        <v>560</v>
      </c>
      <c r="Q26" s="115"/>
      <c r="R26" s="113">
        <f t="shared" si="6"/>
        <v>560</v>
      </c>
      <c r="T26" s="136">
        <f t="shared" si="26"/>
        <v>560</v>
      </c>
      <c r="U26" s="137">
        <f t="shared" si="27"/>
        <v>532.6</v>
      </c>
      <c r="V26" s="137">
        <f t="shared" si="28"/>
        <v>517.20000000000005</v>
      </c>
      <c r="W26" s="137">
        <f t="shared" si="29"/>
        <v>506.6</v>
      </c>
      <c r="X26" s="137">
        <f t="shared" si="30"/>
        <v>493.6</v>
      </c>
      <c r="Y26" s="137">
        <f t="shared" si="31"/>
        <v>477.6</v>
      </c>
      <c r="Z26" s="137">
        <f t="shared" si="32"/>
        <v>458.2</v>
      </c>
      <c r="AA26" s="138">
        <f t="shared" si="33"/>
        <v>560</v>
      </c>
      <c r="AB26" s="139">
        <f t="shared" si="34"/>
        <v>560</v>
      </c>
    </row>
    <row r="27" spans="1:28" ht="20.399999999999999" x14ac:dyDescent="0.35">
      <c r="A27" s="113" t="s">
        <v>21</v>
      </c>
      <c r="B27" s="113">
        <v>630</v>
      </c>
      <c r="C27" s="113">
        <v>15.4</v>
      </c>
      <c r="D27" s="113">
        <f t="shared" si="16"/>
        <v>599.20000000000005</v>
      </c>
      <c r="E27" s="114">
        <v>24.1</v>
      </c>
      <c r="F27" s="113">
        <f t="shared" si="0"/>
        <v>581.79999999999995</v>
      </c>
      <c r="G27" s="114">
        <v>30</v>
      </c>
      <c r="H27" s="113">
        <f t="shared" si="1"/>
        <v>570</v>
      </c>
      <c r="I27" s="114">
        <v>37.299999999999997</v>
      </c>
      <c r="J27" s="113">
        <f t="shared" si="2"/>
        <v>555.4</v>
      </c>
      <c r="K27" s="113">
        <v>46.4</v>
      </c>
      <c r="L27" s="113">
        <f t="shared" si="3"/>
        <v>537.20000000000005</v>
      </c>
      <c r="M27" s="113">
        <v>57.3</v>
      </c>
      <c r="N27" s="113">
        <f t="shared" si="4"/>
        <v>515.4</v>
      </c>
      <c r="O27" s="114"/>
      <c r="P27" s="113">
        <f t="shared" si="5"/>
        <v>630</v>
      </c>
      <c r="Q27" s="115"/>
      <c r="R27" s="113">
        <f t="shared" si="6"/>
        <v>630</v>
      </c>
      <c r="T27" s="136">
        <f t="shared" si="26"/>
        <v>630</v>
      </c>
      <c r="U27" s="137">
        <f t="shared" si="27"/>
        <v>599.20000000000005</v>
      </c>
      <c r="V27" s="137">
        <f t="shared" si="28"/>
        <v>581.79999999999995</v>
      </c>
      <c r="W27" s="137">
        <f t="shared" si="29"/>
        <v>570</v>
      </c>
      <c r="X27" s="137">
        <f t="shared" si="30"/>
        <v>555.4</v>
      </c>
      <c r="Y27" s="137">
        <f t="shared" si="31"/>
        <v>537.20000000000005</v>
      </c>
      <c r="Z27" s="137">
        <f t="shared" si="32"/>
        <v>515.4</v>
      </c>
      <c r="AA27" s="138">
        <f t="shared" si="33"/>
        <v>630</v>
      </c>
      <c r="AB27" s="139">
        <f t="shared" si="34"/>
        <v>630</v>
      </c>
    </row>
    <row r="28" spans="1:28" ht="20.399999999999999" x14ac:dyDescent="0.35">
      <c r="A28" s="116" t="s">
        <v>23</v>
      </c>
      <c r="B28" s="116">
        <v>700</v>
      </c>
      <c r="C28" s="116"/>
      <c r="D28" s="116">
        <f t="shared" ref="D28:R41" si="35">$B28</f>
        <v>700</v>
      </c>
      <c r="E28" s="117"/>
      <c r="F28" s="116">
        <f t="shared" si="35"/>
        <v>700</v>
      </c>
      <c r="G28" s="117"/>
      <c r="H28" s="116">
        <f t="shared" si="35"/>
        <v>700</v>
      </c>
      <c r="I28" s="117"/>
      <c r="J28" s="116">
        <f t="shared" si="35"/>
        <v>700</v>
      </c>
      <c r="K28" s="117"/>
      <c r="L28" s="116">
        <f t="shared" si="35"/>
        <v>700</v>
      </c>
      <c r="M28" s="117"/>
      <c r="N28" s="116">
        <f t="shared" si="35"/>
        <v>700</v>
      </c>
      <c r="O28" s="117"/>
      <c r="P28" s="116">
        <f t="shared" si="35"/>
        <v>700</v>
      </c>
      <c r="Q28" s="117"/>
      <c r="R28" s="116">
        <f t="shared" si="35"/>
        <v>700</v>
      </c>
      <c r="T28" s="136">
        <f t="shared" si="17"/>
        <v>700</v>
      </c>
      <c r="U28" s="137">
        <f t="shared" ref="U28:U37" si="36">D28</f>
        <v>700</v>
      </c>
      <c r="V28" s="137">
        <f t="shared" ref="V28:V37" si="37">F28</f>
        <v>700</v>
      </c>
      <c r="W28" s="137">
        <f t="shared" ref="W28:W37" si="38">H28</f>
        <v>700</v>
      </c>
      <c r="X28" s="137">
        <f t="shared" ref="X28:X37" si="39">J28</f>
        <v>700</v>
      </c>
      <c r="Y28" s="137">
        <f t="shared" ref="Y28:Y37" si="40">L28</f>
        <v>700</v>
      </c>
      <c r="Z28" s="137">
        <f t="shared" ref="Z28:Z37" si="41">N28</f>
        <v>700</v>
      </c>
      <c r="AA28" s="138">
        <f t="shared" ref="AA28:AA37" si="42">P28</f>
        <v>700</v>
      </c>
      <c r="AB28" s="139">
        <f t="shared" si="25"/>
        <v>700</v>
      </c>
    </row>
    <row r="29" spans="1:28" ht="20.399999999999999" x14ac:dyDescent="0.35">
      <c r="A29" s="116" t="s">
        <v>23</v>
      </c>
      <c r="B29" s="116">
        <v>800</v>
      </c>
      <c r="C29" s="116"/>
      <c r="D29" s="116">
        <f t="shared" si="35"/>
        <v>800</v>
      </c>
      <c r="E29" s="117"/>
      <c r="F29" s="116">
        <f t="shared" si="35"/>
        <v>800</v>
      </c>
      <c r="G29" s="117"/>
      <c r="H29" s="116">
        <f t="shared" si="35"/>
        <v>800</v>
      </c>
      <c r="I29" s="117"/>
      <c r="J29" s="116">
        <f t="shared" si="35"/>
        <v>800</v>
      </c>
      <c r="K29" s="117"/>
      <c r="L29" s="116">
        <f t="shared" si="35"/>
        <v>800</v>
      </c>
      <c r="M29" s="117"/>
      <c r="N29" s="116">
        <f t="shared" si="35"/>
        <v>800</v>
      </c>
      <c r="O29" s="117"/>
      <c r="P29" s="116">
        <f t="shared" si="35"/>
        <v>800</v>
      </c>
      <c r="Q29" s="117"/>
      <c r="R29" s="116">
        <f t="shared" si="35"/>
        <v>800</v>
      </c>
      <c r="T29" s="136">
        <f t="shared" si="17"/>
        <v>800</v>
      </c>
      <c r="U29" s="137">
        <f t="shared" si="36"/>
        <v>800</v>
      </c>
      <c r="V29" s="137">
        <f t="shared" si="37"/>
        <v>800</v>
      </c>
      <c r="W29" s="137">
        <f t="shared" si="38"/>
        <v>800</v>
      </c>
      <c r="X29" s="137">
        <f t="shared" si="39"/>
        <v>800</v>
      </c>
      <c r="Y29" s="137">
        <f t="shared" si="40"/>
        <v>800</v>
      </c>
      <c r="Z29" s="137">
        <f t="shared" si="41"/>
        <v>800</v>
      </c>
      <c r="AA29" s="138">
        <f t="shared" si="42"/>
        <v>800</v>
      </c>
      <c r="AB29" s="139">
        <f t="shared" si="25"/>
        <v>800</v>
      </c>
    </row>
    <row r="30" spans="1:28" ht="20.399999999999999" x14ac:dyDescent="0.35">
      <c r="A30" s="116" t="s">
        <v>23</v>
      </c>
      <c r="B30" s="116">
        <v>900</v>
      </c>
      <c r="C30" s="116"/>
      <c r="D30" s="116">
        <f t="shared" si="35"/>
        <v>900</v>
      </c>
      <c r="E30" s="117"/>
      <c r="F30" s="116">
        <f t="shared" si="35"/>
        <v>900</v>
      </c>
      <c r="G30" s="117"/>
      <c r="H30" s="116">
        <f t="shared" si="35"/>
        <v>900</v>
      </c>
      <c r="I30" s="117"/>
      <c r="J30" s="116">
        <f t="shared" si="35"/>
        <v>900</v>
      </c>
      <c r="K30" s="117"/>
      <c r="L30" s="116">
        <f t="shared" si="35"/>
        <v>900</v>
      </c>
      <c r="M30" s="117"/>
      <c r="N30" s="116">
        <f t="shared" si="35"/>
        <v>900</v>
      </c>
      <c r="O30" s="117"/>
      <c r="P30" s="116">
        <f t="shared" si="35"/>
        <v>900</v>
      </c>
      <c r="Q30" s="117"/>
      <c r="R30" s="116">
        <f t="shared" si="35"/>
        <v>900</v>
      </c>
      <c r="T30" s="136">
        <f t="shared" si="17"/>
        <v>900</v>
      </c>
      <c r="U30" s="137">
        <f t="shared" si="36"/>
        <v>900</v>
      </c>
      <c r="V30" s="137">
        <f t="shared" si="37"/>
        <v>900</v>
      </c>
      <c r="W30" s="137">
        <f t="shared" si="38"/>
        <v>900</v>
      </c>
      <c r="X30" s="137">
        <f t="shared" si="39"/>
        <v>900</v>
      </c>
      <c r="Y30" s="137">
        <f t="shared" si="40"/>
        <v>900</v>
      </c>
      <c r="Z30" s="137">
        <f t="shared" si="41"/>
        <v>900</v>
      </c>
      <c r="AA30" s="138">
        <f t="shared" si="42"/>
        <v>900</v>
      </c>
      <c r="AB30" s="139">
        <f t="shared" si="25"/>
        <v>900</v>
      </c>
    </row>
    <row r="31" spans="1:28" ht="20.399999999999999" x14ac:dyDescent="0.35">
      <c r="A31" s="116" t="s">
        <v>23</v>
      </c>
      <c r="B31" s="116">
        <v>1000</v>
      </c>
      <c r="C31" s="116"/>
      <c r="D31" s="116">
        <f t="shared" si="35"/>
        <v>1000</v>
      </c>
      <c r="E31" s="117"/>
      <c r="F31" s="116">
        <f t="shared" si="35"/>
        <v>1000</v>
      </c>
      <c r="G31" s="117"/>
      <c r="H31" s="116">
        <f t="shared" si="35"/>
        <v>1000</v>
      </c>
      <c r="I31" s="117"/>
      <c r="J31" s="116">
        <f t="shared" si="35"/>
        <v>1000</v>
      </c>
      <c r="K31" s="117"/>
      <c r="L31" s="116">
        <f t="shared" si="35"/>
        <v>1000</v>
      </c>
      <c r="M31" s="117"/>
      <c r="N31" s="116">
        <f t="shared" si="35"/>
        <v>1000</v>
      </c>
      <c r="O31" s="117"/>
      <c r="P31" s="116">
        <f t="shared" si="35"/>
        <v>1000</v>
      </c>
      <c r="Q31" s="117"/>
      <c r="R31" s="116">
        <f t="shared" si="35"/>
        <v>1000</v>
      </c>
      <c r="T31" s="136">
        <f t="shared" si="17"/>
        <v>1000</v>
      </c>
      <c r="U31" s="137">
        <f t="shared" si="36"/>
        <v>1000</v>
      </c>
      <c r="V31" s="137">
        <f t="shared" si="37"/>
        <v>1000</v>
      </c>
      <c r="W31" s="137">
        <f t="shared" si="38"/>
        <v>1000</v>
      </c>
      <c r="X31" s="137">
        <f t="shared" si="39"/>
        <v>1000</v>
      </c>
      <c r="Y31" s="137">
        <f t="shared" si="40"/>
        <v>1000</v>
      </c>
      <c r="Z31" s="137">
        <f t="shared" si="41"/>
        <v>1000</v>
      </c>
      <c r="AA31" s="138">
        <f t="shared" si="42"/>
        <v>1000</v>
      </c>
      <c r="AB31" s="139">
        <f t="shared" si="25"/>
        <v>1000</v>
      </c>
    </row>
    <row r="32" spans="1:28" ht="20.399999999999999" x14ac:dyDescent="0.35">
      <c r="A32" s="116" t="s">
        <v>23</v>
      </c>
      <c r="B32" s="116">
        <v>1200</v>
      </c>
      <c r="C32" s="116"/>
      <c r="D32" s="116">
        <f t="shared" si="35"/>
        <v>1200</v>
      </c>
      <c r="E32" s="117"/>
      <c r="F32" s="116">
        <f t="shared" si="35"/>
        <v>1200</v>
      </c>
      <c r="G32" s="117"/>
      <c r="H32" s="116">
        <f t="shared" si="35"/>
        <v>1200</v>
      </c>
      <c r="I32" s="116"/>
      <c r="J32" s="116">
        <f t="shared" si="35"/>
        <v>1200</v>
      </c>
      <c r="K32" s="117"/>
      <c r="L32" s="116">
        <f t="shared" si="35"/>
        <v>1200</v>
      </c>
      <c r="M32" s="117"/>
      <c r="N32" s="116">
        <f t="shared" si="35"/>
        <v>1200</v>
      </c>
      <c r="O32" s="117"/>
      <c r="P32" s="116">
        <f t="shared" si="35"/>
        <v>1200</v>
      </c>
      <c r="Q32" s="117"/>
      <c r="R32" s="116">
        <f t="shared" si="35"/>
        <v>1200</v>
      </c>
      <c r="T32" s="136">
        <f t="shared" si="17"/>
        <v>1200</v>
      </c>
      <c r="U32" s="137">
        <f t="shared" si="36"/>
        <v>1200</v>
      </c>
      <c r="V32" s="137">
        <f t="shared" si="37"/>
        <v>1200</v>
      </c>
      <c r="W32" s="137">
        <f t="shared" si="38"/>
        <v>1200</v>
      </c>
      <c r="X32" s="137">
        <f t="shared" si="39"/>
        <v>1200</v>
      </c>
      <c r="Y32" s="137">
        <f t="shared" si="40"/>
        <v>1200</v>
      </c>
      <c r="Z32" s="137">
        <f t="shared" si="41"/>
        <v>1200</v>
      </c>
      <c r="AA32" s="138">
        <f t="shared" si="42"/>
        <v>1200</v>
      </c>
      <c r="AB32" s="139">
        <f t="shared" si="25"/>
        <v>1200</v>
      </c>
    </row>
    <row r="33" spans="1:29" ht="20.399999999999999" x14ac:dyDescent="0.35">
      <c r="A33" s="116" t="s">
        <v>23</v>
      </c>
      <c r="B33" s="116">
        <v>1300</v>
      </c>
      <c r="C33" s="116"/>
      <c r="D33" s="116">
        <f t="shared" si="35"/>
        <v>1300</v>
      </c>
      <c r="E33" s="117"/>
      <c r="F33" s="116">
        <f t="shared" si="35"/>
        <v>1300</v>
      </c>
      <c r="G33" s="117"/>
      <c r="H33" s="116">
        <f t="shared" si="35"/>
        <v>1300</v>
      </c>
      <c r="I33" s="116"/>
      <c r="J33" s="116">
        <f t="shared" si="35"/>
        <v>1300</v>
      </c>
      <c r="K33" s="117"/>
      <c r="L33" s="116">
        <f t="shared" si="35"/>
        <v>1300</v>
      </c>
      <c r="M33" s="117"/>
      <c r="N33" s="116">
        <f t="shared" si="35"/>
        <v>1300</v>
      </c>
      <c r="O33" s="117"/>
      <c r="P33" s="116">
        <f t="shared" si="35"/>
        <v>1300</v>
      </c>
      <c r="Q33" s="117"/>
      <c r="R33" s="116">
        <f t="shared" si="35"/>
        <v>1300</v>
      </c>
      <c r="T33" s="136">
        <f>B33</f>
        <v>1300</v>
      </c>
      <c r="U33" s="137">
        <f>D33</f>
        <v>1300</v>
      </c>
      <c r="V33" s="137">
        <f>F33</f>
        <v>1300</v>
      </c>
      <c r="W33" s="137">
        <f>H33</f>
        <v>1300</v>
      </c>
      <c r="X33" s="137">
        <f>J33</f>
        <v>1300</v>
      </c>
      <c r="Y33" s="137">
        <f>L33</f>
        <v>1300</v>
      </c>
      <c r="Z33" s="137">
        <f>N33</f>
        <v>1300</v>
      </c>
      <c r="AA33" s="138">
        <f>P33</f>
        <v>1300</v>
      </c>
      <c r="AB33" s="139">
        <f>R33</f>
        <v>1300</v>
      </c>
    </row>
    <row r="34" spans="1:29" ht="20.399999999999999" x14ac:dyDescent="0.35">
      <c r="A34" s="116" t="s">
        <v>23</v>
      </c>
      <c r="B34" s="116">
        <v>1400</v>
      </c>
      <c r="C34" s="116"/>
      <c r="D34" s="116">
        <f t="shared" si="35"/>
        <v>1400</v>
      </c>
      <c r="E34" s="117"/>
      <c r="F34" s="116">
        <f t="shared" si="35"/>
        <v>1400</v>
      </c>
      <c r="G34" s="117"/>
      <c r="H34" s="116">
        <f t="shared" si="35"/>
        <v>1400</v>
      </c>
      <c r="I34" s="116"/>
      <c r="J34" s="116">
        <f t="shared" si="35"/>
        <v>1400</v>
      </c>
      <c r="K34" s="117"/>
      <c r="L34" s="116">
        <f t="shared" si="35"/>
        <v>1400</v>
      </c>
      <c r="M34" s="117"/>
      <c r="N34" s="116">
        <f t="shared" si="35"/>
        <v>1400</v>
      </c>
      <c r="O34" s="117"/>
      <c r="P34" s="116">
        <f t="shared" si="35"/>
        <v>1400</v>
      </c>
      <c r="Q34" s="117"/>
      <c r="R34" s="116">
        <f t="shared" si="35"/>
        <v>1400</v>
      </c>
      <c r="T34" s="136">
        <f t="shared" si="17"/>
        <v>1400</v>
      </c>
      <c r="U34" s="137">
        <f t="shared" si="36"/>
        <v>1400</v>
      </c>
      <c r="V34" s="137">
        <f t="shared" si="37"/>
        <v>1400</v>
      </c>
      <c r="W34" s="137">
        <f t="shared" si="38"/>
        <v>1400</v>
      </c>
      <c r="X34" s="137">
        <f t="shared" si="39"/>
        <v>1400</v>
      </c>
      <c r="Y34" s="137">
        <f t="shared" si="40"/>
        <v>1400</v>
      </c>
      <c r="Z34" s="137">
        <f t="shared" si="41"/>
        <v>1400</v>
      </c>
      <c r="AA34" s="138">
        <f t="shared" si="42"/>
        <v>1400</v>
      </c>
      <c r="AB34" s="139">
        <f t="shared" si="25"/>
        <v>1400</v>
      </c>
    </row>
    <row r="35" spans="1:29" ht="20.399999999999999" x14ac:dyDescent="0.35">
      <c r="A35" s="116" t="s">
        <v>23</v>
      </c>
      <c r="B35" s="116">
        <v>1500</v>
      </c>
      <c r="C35" s="116"/>
      <c r="D35" s="116">
        <f t="shared" si="35"/>
        <v>1500</v>
      </c>
      <c r="E35" s="117"/>
      <c r="F35" s="116">
        <f t="shared" si="35"/>
        <v>1500</v>
      </c>
      <c r="G35" s="117"/>
      <c r="H35" s="116">
        <f t="shared" si="35"/>
        <v>1500</v>
      </c>
      <c r="I35" s="116"/>
      <c r="J35" s="116">
        <f t="shared" si="35"/>
        <v>1500</v>
      </c>
      <c r="K35" s="117"/>
      <c r="L35" s="116">
        <f t="shared" si="35"/>
        <v>1500</v>
      </c>
      <c r="M35" s="117"/>
      <c r="N35" s="116">
        <f t="shared" si="35"/>
        <v>1500</v>
      </c>
      <c r="O35" s="117"/>
      <c r="P35" s="116">
        <f t="shared" si="35"/>
        <v>1500</v>
      </c>
      <c r="Q35" s="117"/>
      <c r="R35" s="116">
        <f t="shared" si="35"/>
        <v>1500</v>
      </c>
      <c r="T35" s="136">
        <f t="shared" si="17"/>
        <v>1500</v>
      </c>
      <c r="U35" s="137">
        <f t="shared" si="36"/>
        <v>1500</v>
      </c>
      <c r="V35" s="137">
        <f t="shared" si="37"/>
        <v>1500</v>
      </c>
      <c r="W35" s="137">
        <f t="shared" si="38"/>
        <v>1500</v>
      </c>
      <c r="X35" s="137">
        <f t="shared" si="39"/>
        <v>1500</v>
      </c>
      <c r="Y35" s="137">
        <f t="shared" si="40"/>
        <v>1500</v>
      </c>
      <c r="Z35" s="137">
        <f t="shared" si="41"/>
        <v>1500</v>
      </c>
      <c r="AA35" s="138">
        <f t="shared" si="42"/>
        <v>1500</v>
      </c>
      <c r="AB35" s="139">
        <f t="shared" si="25"/>
        <v>1500</v>
      </c>
    </row>
    <row r="36" spans="1:29" ht="20.399999999999999" x14ac:dyDescent="0.35">
      <c r="A36" s="116" t="s">
        <v>23</v>
      </c>
      <c r="B36" s="116">
        <v>1600</v>
      </c>
      <c r="C36" s="116"/>
      <c r="D36" s="116">
        <f t="shared" si="35"/>
        <v>1600</v>
      </c>
      <c r="E36" s="117"/>
      <c r="F36" s="116">
        <f t="shared" si="35"/>
        <v>1600</v>
      </c>
      <c r="G36" s="117"/>
      <c r="H36" s="116">
        <f t="shared" si="35"/>
        <v>1600</v>
      </c>
      <c r="I36" s="116"/>
      <c r="J36" s="116">
        <f t="shared" si="35"/>
        <v>1600</v>
      </c>
      <c r="K36" s="117"/>
      <c r="L36" s="116">
        <f t="shared" si="35"/>
        <v>1600</v>
      </c>
      <c r="M36" s="117"/>
      <c r="N36" s="116">
        <f t="shared" si="35"/>
        <v>1600</v>
      </c>
      <c r="O36" s="117"/>
      <c r="P36" s="116">
        <f t="shared" si="35"/>
        <v>1600</v>
      </c>
      <c r="Q36" s="117"/>
      <c r="R36" s="116">
        <f t="shared" si="35"/>
        <v>1600</v>
      </c>
      <c r="T36" s="136">
        <f t="shared" si="17"/>
        <v>1600</v>
      </c>
      <c r="U36" s="137">
        <f t="shared" si="36"/>
        <v>1600</v>
      </c>
      <c r="V36" s="137">
        <f t="shared" si="37"/>
        <v>1600</v>
      </c>
      <c r="W36" s="137">
        <f t="shared" si="38"/>
        <v>1600</v>
      </c>
      <c r="X36" s="137">
        <f t="shared" si="39"/>
        <v>1600</v>
      </c>
      <c r="Y36" s="137">
        <f t="shared" si="40"/>
        <v>1600</v>
      </c>
      <c r="Z36" s="137">
        <f t="shared" si="41"/>
        <v>1600</v>
      </c>
      <c r="AA36" s="138">
        <f t="shared" si="42"/>
        <v>1600</v>
      </c>
      <c r="AB36" s="139">
        <f t="shared" si="25"/>
        <v>1600</v>
      </c>
    </row>
    <row r="37" spans="1:29" ht="20.399999999999999" x14ac:dyDescent="0.35">
      <c r="A37" s="116" t="s">
        <v>23</v>
      </c>
      <c r="B37" s="116">
        <v>1800</v>
      </c>
      <c r="C37" s="116"/>
      <c r="D37" s="116">
        <f t="shared" si="35"/>
        <v>1800</v>
      </c>
      <c r="E37" s="117"/>
      <c r="F37" s="116">
        <f t="shared" si="35"/>
        <v>1800</v>
      </c>
      <c r="G37" s="117"/>
      <c r="H37" s="116">
        <f t="shared" si="35"/>
        <v>1800</v>
      </c>
      <c r="I37" s="116"/>
      <c r="J37" s="116">
        <f t="shared" si="35"/>
        <v>1800</v>
      </c>
      <c r="K37" s="117"/>
      <c r="L37" s="116">
        <f t="shared" si="35"/>
        <v>1800</v>
      </c>
      <c r="M37" s="117"/>
      <c r="N37" s="116">
        <f t="shared" si="35"/>
        <v>1800</v>
      </c>
      <c r="O37" s="117"/>
      <c r="P37" s="116">
        <f t="shared" si="35"/>
        <v>1800</v>
      </c>
      <c r="Q37" s="117"/>
      <c r="R37" s="116">
        <f t="shared" si="35"/>
        <v>1800</v>
      </c>
      <c r="T37" s="136">
        <f t="shared" si="17"/>
        <v>1800</v>
      </c>
      <c r="U37" s="137">
        <f t="shared" si="36"/>
        <v>1800</v>
      </c>
      <c r="V37" s="137">
        <f t="shared" si="37"/>
        <v>1800</v>
      </c>
      <c r="W37" s="137">
        <f t="shared" si="38"/>
        <v>1800</v>
      </c>
      <c r="X37" s="137">
        <f t="shared" si="39"/>
        <v>1800</v>
      </c>
      <c r="Y37" s="137">
        <f t="shared" si="40"/>
        <v>1800</v>
      </c>
      <c r="Z37" s="137">
        <f t="shared" si="41"/>
        <v>1800</v>
      </c>
      <c r="AA37" s="138">
        <f t="shared" si="42"/>
        <v>1800</v>
      </c>
      <c r="AB37" s="139">
        <f t="shared" si="25"/>
        <v>1800</v>
      </c>
    </row>
    <row r="38" spans="1:29" ht="20.399999999999999" x14ac:dyDescent="0.35">
      <c r="A38" s="116" t="s">
        <v>23</v>
      </c>
      <c r="B38" s="116">
        <v>2000</v>
      </c>
      <c r="C38" s="116"/>
      <c r="D38" s="116">
        <f t="shared" si="35"/>
        <v>2000</v>
      </c>
      <c r="E38" s="117"/>
      <c r="F38" s="116">
        <f t="shared" si="35"/>
        <v>2000</v>
      </c>
      <c r="G38" s="117"/>
      <c r="H38" s="116">
        <f t="shared" si="35"/>
        <v>2000</v>
      </c>
      <c r="I38" s="116"/>
      <c r="J38" s="116">
        <f t="shared" si="35"/>
        <v>2000</v>
      </c>
      <c r="K38" s="117"/>
      <c r="L38" s="116">
        <f t="shared" si="35"/>
        <v>2000</v>
      </c>
      <c r="M38" s="117"/>
      <c r="N38" s="116">
        <f t="shared" si="35"/>
        <v>2000</v>
      </c>
      <c r="O38" s="117"/>
      <c r="P38" s="116">
        <f t="shared" si="35"/>
        <v>2000</v>
      </c>
      <c r="Q38" s="117"/>
      <c r="R38" s="116">
        <f t="shared" si="35"/>
        <v>2000</v>
      </c>
      <c r="T38" s="136">
        <f t="shared" si="17"/>
        <v>2000</v>
      </c>
      <c r="U38" s="137">
        <f>D38</f>
        <v>2000</v>
      </c>
      <c r="V38" s="137">
        <f>F38</f>
        <v>2000</v>
      </c>
      <c r="W38" s="137">
        <f>H38</f>
        <v>2000</v>
      </c>
      <c r="X38" s="137">
        <f>J38</f>
        <v>2000</v>
      </c>
      <c r="Y38" s="137">
        <f>L38</f>
        <v>2000</v>
      </c>
      <c r="Z38" s="137">
        <f>N38</f>
        <v>2000</v>
      </c>
      <c r="AA38" s="138">
        <f>P38</f>
        <v>2000</v>
      </c>
      <c r="AB38" s="139">
        <f t="shared" si="25"/>
        <v>2000</v>
      </c>
    </row>
    <row r="39" spans="1:29" ht="20.399999999999999" x14ac:dyDescent="0.35">
      <c r="A39" s="116" t="s">
        <v>23</v>
      </c>
      <c r="B39" s="116">
        <v>2150</v>
      </c>
      <c r="C39" s="116"/>
      <c r="D39" s="116">
        <f t="shared" si="35"/>
        <v>2150</v>
      </c>
      <c r="E39" s="117"/>
      <c r="F39" s="116">
        <f t="shared" si="35"/>
        <v>2150</v>
      </c>
      <c r="G39" s="117"/>
      <c r="H39" s="116">
        <f t="shared" si="35"/>
        <v>2150</v>
      </c>
      <c r="I39" s="116"/>
      <c r="J39" s="116">
        <f t="shared" si="35"/>
        <v>2150</v>
      </c>
      <c r="K39" s="117"/>
      <c r="L39" s="116">
        <f t="shared" si="35"/>
        <v>2150</v>
      </c>
      <c r="M39" s="117"/>
      <c r="N39" s="116">
        <f t="shared" si="35"/>
        <v>2150</v>
      </c>
      <c r="O39" s="117"/>
      <c r="P39" s="116">
        <f t="shared" si="35"/>
        <v>2150</v>
      </c>
      <c r="Q39" s="117"/>
      <c r="R39" s="116">
        <f t="shared" si="35"/>
        <v>2150</v>
      </c>
      <c r="T39" s="136">
        <f t="shared" si="17"/>
        <v>2150</v>
      </c>
      <c r="U39" s="137">
        <f>D39</f>
        <v>2150</v>
      </c>
      <c r="V39" s="137">
        <f>F39</f>
        <v>2150</v>
      </c>
      <c r="W39" s="137">
        <f>H39</f>
        <v>2150</v>
      </c>
      <c r="X39" s="137">
        <f>J39</f>
        <v>2150</v>
      </c>
      <c r="Y39" s="137">
        <f>L39</f>
        <v>2150</v>
      </c>
      <c r="Z39" s="137">
        <f>N39</f>
        <v>2150</v>
      </c>
      <c r="AA39" s="138">
        <f>P39</f>
        <v>2150</v>
      </c>
      <c r="AB39" s="139">
        <f t="shared" si="25"/>
        <v>2150</v>
      </c>
    </row>
    <row r="40" spans="1:29" ht="20.399999999999999" x14ac:dyDescent="0.35">
      <c r="A40" s="116" t="s">
        <v>23</v>
      </c>
      <c r="B40" s="116">
        <v>2500</v>
      </c>
      <c r="C40" s="116"/>
      <c r="D40" s="116">
        <f t="shared" si="35"/>
        <v>2500</v>
      </c>
      <c r="E40" s="117"/>
      <c r="F40" s="116">
        <f t="shared" si="35"/>
        <v>2500</v>
      </c>
      <c r="G40" s="117"/>
      <c r="H40" s="116">
        <f t="shared" si="35"/>
        <v>2500</v>
      </c>
      <c r="I40" s="116"/>
      <c r="J40" s="116">
        <f t="shared" si="35"/>
        <v>2500</v>
      </c>
      <c r="K40" s="117"/>
      <c r="L40" s="116">
        <f t="shared" si="35"/>
        <v>2500</v>
      </c>
      <c r="M40" s="117"/>
      <c r="N40" s="116">
        <f t="shared" si="35"/>
        <v>2500</v>
      </c>
      <c r="O40" s="117"/>
      <c r="P40" s="116">
        <f t="shared" si="35"/>
        <v>2500</v>
      </c>
      <c r="Q40" s="117"/>
      <c r="R40" s="116">
        <f t="shared" si="35"/>
        <v>2500</v>
      </c>
      <c r="T40" s="136">
        <f t="shared" si="17"/>
        <v>2500</v>
      </c>
      <c r="U40" s="137">
        <f>D40</f>
        <v>2500</v>
      </c>
      <c r="V40" s="137">
        <f>F40</f>
        <v>2500</v>
      </c>
      <c r="W40" s="137">
        <f>H40</f>
        <v>2500</v>
      </c>
      <c r="X40" s="137">
        <f>J40</f>
        <v>2500</v>
      </c>
      <c r="Y40" s="137">
        <f>L40</f>
        <v>2500</v>
      </c>
      <c r="Z40" s="137">
        <f>N40</f>
        <v>2500</v>
      </c>
      <c r="AA40" s="138">
        <f>P40</f>
        <v>2500</v>
      </c>
      <c r="AB40" s="139">
        <f t="shared" si="25"/>
        <v>2500</v>
      </c>
    </row>
    <row r="41" spans="1:29" ht="20.399999999999999" x14ac:dyDescent="0.35">
      <c r="A41" s="116" t="s">
        <v>23</v>
      </c>
      <c r="B41" s="116">
        <v>2800</v>
      </c>
      <c r="C41" s="116"/>
      <c r="D41" s="116">
        <f t="shared" si="35"/>
        <v>2800</v>
      </c>
      <c r="E41" s="117"/>
      <c r="F41" s="116">
        <f t="shared" si="35"/>
        <v>2800</v>
      </c>
      <c r="G41" s="117"/>
      <c r="H41" s="116">
        <f t="shared" si="35"/>
        <v>2800</v>
      </c>
      <c r="I41" s="116"/>
      <c r="J41" s="116">
        <f t="shared" si="35"/>
        <v>2800</v>
      </c>
      <c r="K41" s="117"/>
      <c r="L41" s="116">
        <f t="shared" si="35"/>
        <v>2800</v>
      </c>
      <c r="M41" s="117"/>
      <c r="N41" s="116">
        <f t="shared" si="35"/>
        <v>2800</v>
      </c>
      <c r="O41" s="117"/>
      <c r="P41" s="116">
        <f t="shared" si="35"/>
        <v>2800</v>
      </c>
      <c r="Q41" s="117"/>
      <c r="R41" s="116">
        <f t="shared" si="35"/>
        <v>2800</v>
      </c>
      <c r="T41" s="136">
        <f t="shared" si="17"/>
        <v>2800</v>
      </c>
      <c r="U41" s="137">
        <f>D41</f>
        <v>2800</v>
      </c>
      <c r="V41" s="137">
        <f>F41</f>
        <v>2800</v>
      </c>
      <c r="W41" s="137">
        <f>H41</f>
        <v>2800</v>
      </c>
      <c r="X41" s="137">
        <f>J41</f>
        <v>2800</v>
      </c>
      <c r="Y41" s="137">
        <f>L41</f>
        <v>2800</v>
      </c>
      <c r="Z41" s="137">
        <f>N41</f>
        <v>2800</v>
      </c>
      <c r="AA41" s="138">
        <f>P41</f>
        <v>2800</v>
      </c>
      <c r="AB41" s="139">
        <f t="shared" si="25"/>
        <v>2800</v>
      </c>
    </row>
    <row r="42" spans="1:29" ht="18" thickBo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29" ht="18" thickBot="1" x14ac:dyDescent="0.35">
      <c r="A43" s="8"/>
      <c r="B43" s="118">
        <v>1</v>
      </c>
      <c r="C43" s="119">
        <v>2</v>
      </c>
      <c r="D43" s="119">
        <v>3</v>
      </c>
      <c r="E43" s="119">
        <v>4</v>
      </c>
      <c r="F43" s="119">
        <v>5</v>
      </c>
      <c r="G43" s="119">
        <v>6</v>
      </c>
      <c r="H43" s="119">
        <v>7</v>
      </c>
      <c r="I43" s="119">
        <v>8</v>
      </c>
      <c r="J43" s="119">
        <v>9</v>
      </c>
      <c r="K43" s="119">
        <v>10</v>
      </c>
      <c r="L43" s="119">
        <v>11</v>
      </c>
      <c r="M43" s="119">
        <v>12</v>
      </c>
      <c r="N43" s="119">
        <v>13</v>
      </c>
      <c r="O43" s="119"/>
      <c r="P43" s="119"/>
      <c r="Q43" s="119">
        <v>14</v>
      </c>
      <c r="R43" s="120">
        <v>15</v>
      </c>
    </row>
    <row r="44" spans="1:29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29" ht="22.8" x14ac:dyDescent="0.4">
      <c r="S45" s="24" t="s">
        <v>25</v>
      </c>
    </row>
    <row r="47" spans="1:29" ht="17.399999999999999" x14ac:dyDescent="0.3">
      <c r="S47" s="255" t="s">
        <v>7</v>
      </c>
      <c r="T47" s="255" t="s">
        <v>9</v>
      </c>
      <c r="U47" s="262" t="s">
        <v>24</v>
      </c>
      <c r="V47" s="262"/>
      <c r="W47" s="262"/>
      <c r="X47" s="262"/>
      <c r="Y47" s="262"/>
      <c r="Z47" s="262"/>
      <c r="AA47" s="262"/>
      <c r="AB47" s="262"/>
      <c r="AC47" s="8"/>
    </row>
    <row r="48" spans="1:29" ht="17.399999999999999" x14ac:dyDescent="0.3">
      <c r="S48" s="255"/>
      <c r="T48" s="255"/>
      <c r="U48" s="262" t="s">
        <v>8</v>
      </c>
      <c r="V48" s="262"/>
      <c r="W48" s="262"/>
      <c r="X48" s="262"/>
      <c r="Y48" s="262"/>
      <c r="Z48" s="262"/>
      <c r="AA48" s="262"/>
      <c r="AB48" s="262"/>
      <c r="AC48" s="8"/>
    </row>
    <row r="49" spans="19:30" ht="17.399999999999999" x14ac:dyDescent="0.3">
      <c r="S49" s="255"/>
      <c r="T49" s="255"/>
      <c r="U49" s="147">
        <v>4</v>
      </c>
      <c r="V49" s="147">
        <v>6.3</v>
      </c>
      <c r="W49" s="147">
        <v>8</v>
      </c>
      <c r="X49" s="147">
        <v>10</v>
      </c>
      <c r="Y49" s="147">
        <v>12.5</v>
      </c>
      <c r="Z49" s="147">
        <v>16</v>
      </c>
      <c r="AA49" s="147">
        <v>20</v>
      </c>
      <c r="AB49" s="147">
        <v>25</v>
      </c>
      <c r="AC49" s="8"/>
    </row>
    <row r="50" spans="19:30" ht="17.399999999999999" x14ac:dyDescent="0.3">
      <c r="S50" s="128" t="s">
        <v>21</v>
      </c>
      <c r="T50" s="128">
        <v>63</v>
      </c>
      <c r="U50" s="130"/>
      <c r="V50" s="130"/>
      <c r="W50" s="130">
        <v>4</v>
      </c>
      <c r="X50" s="130">
        <f>+W50+2</f>
        <v>6</v>
      </c>
      <c r="Y50" s="130">
        <f t="shared" ref="Y50:AB52" si="43">+X50+2</f>
        <v>8</v>
      </c>
      <c r="Z50" s="130">
        <f t="shared" si="43"/>
        <v>10</v>
      </c>
      <c r="AA50" s="130">
        <f t="shared" si="43"/>
        <v>12</v>
      </c>
      <c r="AB50" s="130">
        <f t="shared" si="43"/>
        <v>14</v>
      </c>
      <c r="AC50" s="258" t="s">
        <v>53</v>
      </c>
      <c r="AD50" s="6"/>
    </row>
    <row r="51" spans="19:30" ht="17.399999999999999" x14ac:dyDescent="0.3">
      <c r="S51" s="128" t="s">
        <v>21</v>
      </c>
      <c r="T51" s="128">
        <v>75</v>
      </c>
      <c r="U51" s="130"/>
      <c r="V51" s="130"/>
      <c r="W51" s="130">
        <v>5</v>
      </c>
      <c r="X51" s="130">
        <f>+W51+2</f>
        <v>7</v>
      </c>
      <c r="Y51" s="130">
        <f t="shared" si="43"/>
        <v>9</v>
      </c>
      <c r="Z51" s="130">
        <f t="shared" si="43"/>
        <v>11</v>
      </c>
      <c r="AA51" s="130">
        <f t="shared" si="43"/>
        <v>13</v>
      </c>
      <c r="AB51" s="130">
        <f t="shared" si="43"/>
        <v>15</v>
      </c>
      <c r="AC51" s="259"/>
      <c r="AD51" s="6"/>
    </row>
    <row r="52" spans="19:30" ht="17.399999999999999" x14ac:dyDescent="0.3">
      <c r="S52" s="128" t="s">
        <v>21</v>
      </c>
      <c r="T52" s="128">
        <v>90</v>
      </c>
      <c r="U52" s="130"/>
      <c r="V52" s="130"/>
      <c r="W52" s="130">
        <v>6</v>
      </c>
      <c r="X52" s="130">
        <f>+W52+2</f>
        <v>8</v>
      </c>
      <c r="Y52" s="130">
        <f t="shared" si="43"/>
        <v>10</v>
      </c>
      <c r="Z52" s="130">
        <f t="shared" si="43"/>
        <v>12</v>
      </c>
      <c r="AA52" s="130">
        <f t="shared" si="43"/>
        <v>14</v>
      </c>
      <c r="AB52" s="130">
        <f t="shared" si="43"/>
        <v>16</v>
      </c>
      <c r="AC52" s="259"/>
      <c r="AD52" s="6"/>
    </row>
    <row r="53" spans="19:30" ht="17.399999999999999" x14ac:dyDescent="0.3">
      <c r="S53" s="128" t="s">
        <v>21</v>
      </c>
      <c r="T53" s="128">
        <v>110</v>
      </c>
      <c r="U53" s="130"/>
      <c r="V53" s="131">
        <v>6</v>
      </c>
      <c r="W53" s="131">
        <v>8</v>
      </c>
      <c r="X53" s="131">
        <v>10</v>
      </c>
      <c r="Y53" s="131">
        <v>12</v>
      </c>
      <c r="Z53" s="130">
        <f>+Y53+2</f>
        <v>14</v>
      </c>
      <c r="AA53" s="130">
        <f t="shared" ref="AA53:AB53" si="44">+Z53+2</f>
        <v>16</v>
      </c>
      <c r="AB53" s="130">
        <f t="shared" si="44"/>
        <v>18</v>
      </c>
      <c r="AC53" s="259"/>
      <c r="AD53" s="6"/>
    </row>
    <row r="54" spans="19:30" ht="17.399999999999999" x14ac:dyDescent="0.3">
      <c r="S54" s="128" t="s">
        <v>21</v>
      </c>
      <c r="T54" s="128">
        <v>125</v>
      </c>
      <c r="U54" s="130">
        <v>5</v>
      </c>
      <c r="V54" s="131">
        <v>7</v>
      </c>
      <c r="W54" s="131">
        <v>9</v>
      </c>
      <c r="X54" s="131">
        <v>11</v>
      </c>
      <c r="Y54" s="131">
        <v>13</v>
      </c>
      <c r="Z54" s="130">
        <f t="shared" ref="Z54:AB54" si="45">+Y54+2</f>
        <v>15</v>
      </c>
      <c r="AA54" s="130">
        <f t="shared" si="45"/>
        <v>17</v>
      </c>
      <c r="AB54" s="130">
        <f t="shared" si="45"/>
        <v>19</v>
      </c>
      <c r="AC54" s="259"/>
      <c r="AD54" s="6"/>
    </row>
    <row r="55" spans="19:30" ht="17.399999999999999" x14ac:dyDescent="0.3">
      <c r="S55" s="128" t="s">
        <v>21</v>
      </c>
      <c r="T55" s="128">
        <v>140</v>
      </c>
      <c r="U55" s="130">
        <v>6</v>
      </c>
      <c r="V55" s="131">
        <v>8</v>
      </c>
      <c r="W55" s="131">
        <v>10</v>
      </c>
      <c r="X55" s="131">
        <v>12.5</v>
      </c>
      <c r="Y55" s="131">
        <v>15</v>
      </c>
      <c r="Z55" s="130">
        <f t="shared" ref="Z55:AB55" si="46">+Y55+2</f>
        <v>17</v>
      </c>
      <c r="AA55" s="130">
        <f t="shared" si="46"/>
        <v>19</v>
      </c>
      <c r="AB55" s="130">
        <f t="shared" si="46"/>
        <v>21</v>
      </c>
      <c r="AC55" s="259"/>
    </row>
    <row r="56" spans="19:30" ht="17.399999999999999" x14ac:dyDescent="0.3">
      <c r="S56" s="128" t="s">
        <v>21</v>
      </c>
      <c r="T56" s="128">
        <v>160</v>
      </c>
      <c r="U56" s="130">
        <v>8</v>
      </c>
      <c r="V56" s="131">
        <v>10</v>
      </c>
      <c r="W56" s="131">
        <v>12.5</v>
      </c>
      <c r="X56" s="131">
        <v>15</v>
      </c>
      <c r="Y56" s="131">
        <v>20</v>
      </c>
      <c r="Z56" s="130">
        <f>+Y56+5</f>
        <v>25</v>
      </c>
      <c r="AA56" s="130">
        <f t="shared" ref="AA56:AB56" si="47">+Z56+5</f>
        <v>30</v>
      </c>
      <c r="AB56" s="130">
        <f t="shared" si="47"/>
        <v>35</v>
      </c>
      <c r="AC56" s="259"/>
    </row>
    <row r="57" spans="19:30" ht="17.399999999999999" x14ac:dyDescent="0.3">
      <c r="S57" s="128" t="s">
        <v>21</v>
      </c>
      <c r="T57" s="128">
        <v>180</v>
      </c>
      <c r="U57" s="130">
        <v>10</v>
      </c>
      <c r="V57" s="131">
        <v>12.5</v>
      </c>
      <c r="W57" s="131">
        <v>15</v>
      </c>
      <c r="X57" s="131">
        <v>20</v>
      </c>
      <c r="Y57" s="131">
        <v>25</v>
      </c>
      <c r="Z57" s="130">
        <f t="shared" ref="Z57:AB57" si="48">+Y57+5</f>
        <v>30</v>
      </c>
      <c r="AA57" s="130">
        <f t="shared" si="48"/>
        <v>35</v>
      </c>
      <c r="AB57" s="130">
        <f t="shared" si="48"/>
        <v>40</v>
      </c>
      <c r="AC57" s="259"/>
    </row>
    <row r="58" spans="19:30" ht="17.399999999999999" x14ac:dyDescent="0.3">
      <c r="S58" s="128" t="s">
        <v>21</v>
      </c>
      <c r="T58" s="128">
        <v>200</v>
      </c>
      <c r="U58" s="130">
        <v>12.5</v>
      </c>
      <c r="V58" s="131">
        <v>15</v>
      </c>
      <c r="W58" s="131">
        <v>18</v>
      </c>
      <c r="X58" s="131">
        <v>25</v>
      </c>
      <c r="Y58" s="131">
        <v>30</v>
      </c>
      <c r="Z58" s="130">
        <f t="shared" ref="Z58:AB58" si="49">+Y58+5</f>
        <v>35</v>
      </c>
      <c r="AA58" s="130">
        <f t="shared" si="49"/>
        <v>40</v>
      </c>
      <c r="AB58" s="130">
        <f t="shared" si="49"/>
        <v>45</v>
      </c>
      <c r="AC58" s="259"/>
    </row>
    <row r="59" spans="19:30" ht="17.399999999999999" x14ac:dyDescent="0.3">
      <c r="S59" s="128" t="s">
        <v>21</v>
      </c>
      <c r="T59" s="128">
        <v>225</v>
      </c>
      <c r="U59" s="130">
        <v>15</v>
      </c>
      <c r="V59" s="131">
        <v>18</v>
      </c>
      <c r="W59" s="131">
        <v>23</v>
      </c>
      <c r="X59" s="131">
        <v>30</v>
      </c>
      <c r="Y59" s="131">
        <v>35</v>
      </c>
      <c r="Z59" s="130">
        <f t="shared" ref="Z59:AB59" si="50">+Y59+5</f>
        <v>40</v>
      </c>
      <c r="AA59" s="130">
        <f t="shared" si="50"/>
        <v>45</v>
      </c>
      <c r="AB59" s="130">
        <f t="shared" si="50"/>
        <v>50</v>
      </c>
      <c r="AC59" s="259"/>
    </row>
    <row r="60" spans="19:30" ht="17.399999999999999" x14ac:dyDescent="0.3">
      <c r="S60" s="128" t="s">
        <v>21</v>
      </c>
      <c r="T60" s="128">
        <v>250</v>
      </c>
      <c r="U60" s="130">
        <v>20</v>
      </c>
      <c r="V60" s="131">
        <v>23</v>
      </c>
      <c r="W60" s="131">
        <v>28</v>
      </c>
      <c r="X60" s="131">
        <v>35</v>
      </c>
      <c r="Y60" s="131">
        <v>40</v>
      </c>
      <c r="Z60" s="130">
        <f t="shared" ref="Z60:AB60" si="51">+Y60+5</f>
        <v>45</v>
      </c>
      <c r="AA60" s="130">
        <f t="shared" si="51"/>
        <v>50</v>
      </c>
      <c r="AB60" s="130">
        <f t="shared" si="51"/>
        <v>55</v>
      </c>
      <c r="AC60" s="259"/>
    </row>
    <row r="61" spans="19:30" ht="17.399999999999999" x14ac:dyDescent="0.3">
      <c r="S61" s="128" t="s">
        <v>21</v>
      </c>
      <c r="T61" s="128">
        <v>280</v>
      </c>
      <c r="U61" s="130">
        <v>25</v>
      </c>
      <c r="V61" s="131">
        <v>28</v>
      </c>
      <c r="W61" s="131">
        <v>35</v>
      </c>
      <c r="X61" s="131">
        <v>45</v>
      </c>
      <c r="Y61" s="130">
        <f>+X61+5</f>
        <v>50</v>
      </c>
      <c r="Z61" s="130">
        <f t="shared" ref="Z61:AA61" si="52">+Y61+5</f>
        <v>55</v>
      </c>
      <c r="AA61" s="130">
        <f t="shared" si="52"/>
        <v>60</v>
      </c>
      <c r="AB61" s="130"/>
      <c r="AC61" s="259"/>
    </row>
    <row r="62" spans="19:30" ht="17.399999999999999" x14ac:dyDescent="0.3">
      <c r="S62" s="128" t="s">
        <v>21</v>
      </c>
      <c r="T62" s="128">
        <v>315</v>
      </c>
      <c r="U62" s="130">
        <v>30</v>
      </c>
      <c r="V62" s="131">
        <v>35</v>
      </c>
      <c r="W62" s="131">
        <v>45</v>
      </c>
      <c r="X62" s="131">
        <v>55</v>
      </c>
      <c r="Y62" s="130">
        <f t="shared" ref="Y62:AA62" si="53">+X62+5</f>
        <v>60</v>
      </c>
      <c r="Z62" s="130">
        <f t="shared" si="53"/>
        <v>65</v>
      </c>
      <c r="AA62" s="130">
        <f t="shared" si="53"/>
        <v>70</v>
      </c>
      <c r="AB62" s="130"/>
      <c r="AC62" s="259"/>
    </row>
    <row r="63" spans="19:30" ht="17.399999999999999" x14ac:dyDescent="0.3">
      <c r="S63" s="128" t="s">
        <v>21</v>
      </c>
      <c r="T63" s="128">
        <v>355</v>
      </c>
      <c r="U63" s="130">
        <v>40</v>
      </c>
      <c r="V63" s="131">
        <v>45</v>
      </c>
      <c r="W63" s="131">
        <v>55</v>
      </c>
      <c r="X63" s="131">
        <v>70</v>
      </c>
      <c r="Y63" s="130">
        <f t="shared" ref="Y63:AA63" si="54">+X63+5</f>
        <v>75</v>
      </c>
      <c r="Z63" s="130">
        <f t="shared" si="54"/>
        <v>80</v>
      </c>
      <c r="AA63" s="130">
        <f t="shared" si="54"/>
        <v>85</v>
      </c>
      <c r="AB63" s="130"/>
      <c r="AC63" s="259"/>
    </row>
    <row r="64" spans="19:30" ht="17.399999999999999" x14ac:dyDescent="0.3">
      <c r="S64" s="128" t="s">
        <v>21</v>
      </c>
      <c r="T64" s="128">
        <v>400</v>
      </c>
      <c r="U64" s="130">
        <v>50</v>
      </c>
      <c r="V64" s="131">
        <v>58</v>
      </c>
      <c r="W64" s="131">
        <v>71</v>
      </c>
      <c r="X64" s="131">
        <v>90</v>
      </c>
      <c r="Y64" s="130">
        <f t="shared" ref="Y64:AA64" si="55">+X64+5</f>
        <v>95</v>
      </c>
      <c r="Z64" s="130">
        <f t="shared" si="55"/>
        <v>100</v>
      </c>
      <c r="AA64" s="130">
        <f t="shared" si="55"/>
        <v>105</v>
      </c>
      <c r="AB64" s="130"/>
      <c r="AC64" s="259"/>
    </row>
    <row r="65" spans="19:30" ht="17.399999999999999" x14ac:dyDescent="0.3">
      <c r="S65" s="128" t="s">
        <v>21</v>
      </c>
      <c r="T65" s="128">
        <v>450</v>
      </c>
      <c r="U65" s="130">
        <v>60</v>
      </c>
      <c r="V65" s="131">
        <v>72.5</v>
      </c>
      <c r="W65" s="131">
        <v>90</v>
      </c>
      <c r="X65" s="131">
        <v>110</v>
      </c>
      <c r="Y65" s="130">
        <f t="shared" ref="Y65:AA65" si="56">+X65+5</f>
        <v>115</v>
      </c>
      <c r="Z65" s="130">
        <f t="shared" si="56"/>
        <v>120</v>
      </c>
      <c r="AA65" s="130">
        <f t="shared" si="56"/>
        <v>125</v>
      </c>
      <c r="AB65" s="130"/>
      <c r="AC65" s="259"/>
    </row>
    <row r="66" spans="19:30" ht="17.399999999999999" x14ac:dyDescent="0.3">
      <c r="S66" s="128" t="s">
        <v>21</v>
      </c>
      <c r="T66" s="128">
        <v>500</v>
      </c>
      <c r="U66" s="130">
        <v>75</v>
      </c>
      <c r="V66" s="131">
        <v>90</v>
      </c>
      <c r="W66" s="131">
        <v>115</v>
      </c>
      <c r="X66" s="131">
        <v>140</v>
      </c>
      <c r="Y66" s="130">
        <f t="shared" ref="Y66:AA67" si="57">+X66+5</f>
        <v>145</v>
      </c>
      <c r="Z66" s="130">
        <f t="shared" si="57"/>
        <v>150</v>
      </c>
      <c r="AA66" s="130">
        <f t="shared" si="57"/>
        <v>155</v>
      </c>
      <c r="AB66" s="130"/>
      <c r="AC66" s="259"/>
    </row>
    <row r="67" spans="19:30" ht="17.399999999999999" x14ac:dyDescent="0.3">
      <c r="S67" s="128" t="s">
        <v>21</v>
      </c>
      <c r="T67" s="128">
        <v>560</v>
      </c>
      <c r="U67" s="130">
        <v>90</v>
      </c>
      <c r="V67" s="131">
        <v>112</v>
      </c>
      <c r="W67" s="131">
        <v>140</v>
      </c>
      <c r="X67" s="131">
        <v>170</v>
      </c>
      <c r="Y67" s="131">
        <v>200</v>
      </c>
      <c r="Z67" s="130">
        <f t="shared" si="57"/>
        <v>205</v>
      </c>
      <c r="AA67" s="130"/>
      <c r="AB67" s="130"/>
      <c r="AC67" s="259"/>
    </row>
    <row r="68" spans="19:30" ht="17.399999999999999" x14ac:dyDescent="0.3">
      <c r="S68" s="128" t="s">
        <v>21</v>
      </c>
      <c r="T68" s="128">
        <v>630</v>
      </c>
      <c r="U68" s="130">
        <v>125</v>
      </c>
      <c r="V68" s="131">
        <v>145</v>
      </c>
      <c r="W68" s="131">
        <v>178</v>
      </c>
      <c r="X68" s="131">
        <v>220</v>
      </c>
      <c r="Y68" s="130">
        <f t="shared" ref="Y68:Z68" si="58">+X68+2</f>
        <v>222</v>
      </c>
      <c r="Z68" s="130">
        <f t="shared" si="58"/>
        <v>224</v>
      </c>
      <c r="AA68" s="130"/>
      <c r="AB68" s="130"/>
      <c r="AC68" s="259"/>
    </row>
    <row r="69" spans="19:30" ht="17.399999999999999" x14ac:dyDescent="0.3">
      <c r="S69" s="129" t="s">
        <v>23</v>
      </c>
      <c r="T69" s="129">
        <v>700</v>
      </c>
      <c r="U69" s="132">
        <f>+V69-15</f>
        <v>185</v>
      </c>
      <c r="V69" s="132">
        <v>200</v>
      </c>
      <c r="W69" s="132">
        <f t="shared" ref="W69:Z69" si="59">+V69+15</f>
        <v>215</v>
      </c>
      <c r="X69" s="132">
        <f t="shared" si="59"/>
        <v>230</v>
      </c>
      <c r="Y69" s="132">
        <f t="shared" si="59"/>
        <v>245</v>
      </c>
      <c r="Z69" s="132">
        <f t="shared" si="59"/>
        <v>260</v>
      </c>
      <c r="AA69" s="133"/>
      <c r="AB69" s="134"/>
      <c r="AC69" s="260"/>
      <c r="AD69" s="6"/>
    </row>
    <row r="70" spans="19:30" ht="17.399999999999999" x14ac:dyDescent="0.3">
      <c r="S70" s="129" t="s">
        <v>23</v>
      </c>
      <c r="T70" s="129">
        <v>800</v>
      </c>
      <c r="U70" s="132">
        <f t="shared" ref="U70:U82" si="60">+V70-15</f>
        <v>210</v>
      </c>
      <c r="V70" s="135">
        <v>225</v>
      </c>
      <c r="W70" s="135">
        <v>250</v>
      </c>
      <c r="X70" s="135">
        <v>275</v>
      </c>
      <c r="Y70" s="132">
        <f>+X70+25</f>
        <v>300</v>
      </c>
      <c r="Z70" s="132">
        <f t="shared" ref="Z70:Z77" si="61">+Y70+25</f>
        <v>325</v>
      </c>
      <c r="AA70" s="133"/>
      <c r="AB70" s="134"/>
      <c r="AC70" s="260"/>
      <c r="AD70" s="6"/>
    </row>
    <row r="71" spans="19:30" ht="17.399999999999999" x14ac:dyDescent="0.3">
      <c r="S71" s="129" t="s">
        <v>23</v>
      </c>
      <c r="T71" s="129">
        <v>900</v>
      </c>
      <c r="U71" s="132">
        <f t="shared" si="60"/>
        <v>235</v>
      </c>
      <c r="V71" s="135">
        <v>250</v>
      </c>
      <c r="W71" s="135">
        <v>275</v>
      </c>
      <c r="X71" s="135">
        <v>300</v>
      </c>
      <c r="Y71" s="132">
        <f t="shared" ref="W71:Y76" si="62">+X71+25</f>
        <v>325</v>
      </c>
      <c r="Z71" s="132">
        <f t="shared" si="61"/>
        <v>350</v>
      </c>
      <c r="AA71" s="133"/>
      <c r="AB71" s="134"/>
      <c r="AC71" s="260"/>
      <c r="AD71" s="6"/>
    </row>
    <row r="72" spans="19:30" ht="17.399999999999999" x14ac:dyDescent="0.3">
      <c r="S72" s="129" t="s">
        <v>23</v>
      </c>
      <c r="T72" s="129">
        <v>1000</v>
      </c>
      <c r="U72" s="132">
        <f t="shared" si="60"/>
        <v>272.5</v>
      </c>
      <c r="V72" s="135">
        <v>287.5</v>
      </c>
      <c r="W72" s="135">
        <v>300</v>
      </c>
      <c r="X72" s="135">
        <v>312.5</v>
      </c>
      <c r="Y72" s="132">
        <f t="shared" si="62"/>
        <v>337.5</v>
      </c>
      <c r="Z72" s="132">
        <f t="shared" si="61"/>
        <v>362.5</v>
      </c>
      <c r="AA72" s="133"/>
      <c r="AB72" s="134"/>
      <c r="AC72" s="260"/>
      <c r="AD72" s="6"/>
    </row>
    <row r="73" spans="19:30" ht="17.399999999999999" x14ac:dyDescent="0.3">
      <c r="S73" s="129" t="s">
        <v>23</v>
      </c>
      <c r="T73" s="129">
        <v>1200</v>
      </c>
      <c r="U73" s="132">
        <f t="shared" si="60"/>
        <v>310</v>
      </c>
      <c r="V73" s="135">
        <v>325</v>
      </c>
      <c r="W73" s="135">
        <v>350</v>
      </c>
      <c r="X73" s="135">
        <v>375</v>
      </c>
      <c r="Y73" s="132">
        <f t="shared" si="62"/>
        <v>400</v>
      </c>
      <c r="Z73" s="132">
        <f t="shared" si="61"/>
        <v>425</v>
      </c>
      <c r="AA73" s="133"/>
      <c r="AB73" s="134"/>
      <c r="AC73" s="260"/>
      <c r="AD73" s="6"/>
    </row>
    <row r="74" spans="19:30" ht="17.399999999999999" x14ac:dyDescent="0.3">
      <c r="S74" s="129" t="s">
        <v>23</v>
      </c>
      <c r="T74" s="129">
        <v>1300</v>
      </c>
      <c r="U74" s="132">
        <f t="shared" si="60"/>
        <v>365</v>
      </c>
      <c r="V74" s="135">
        <v>380</v>
      </c>
      <c r="W74" s="135">
        <v>400</v>
      </c>
      <c r="X74" s="135">
        <v>450</v>
      </c>
      <c r="Y74" s="132">
        <f t="shared" si="62"/>
        <v>475</v>
      </c>
      <c r="Z74" s="132">
        <f t="shared" si="61"/>
        <v>500</v>
      </c>
      <c r="AA74" s="133"/>
      <c r="AB74" s="134"/>
      <c r="AC74" s="260"/>
      <c r="AD74" s="6"/>
    </row>
    <row r="75" spans="19:30" ht="12.75" customHeight="1" x14ac:dyDescent="0.3">
      <c r="S75" s="129" t="s">
        <v>23</v>
      </c>
      <c r="T75" s="129">
        <v>1400</v>
      </c>
      <c r="U75" s="132">
        <f t="shared" si="60"/>
        <v>415</v>
      </c>
      <c r="V75" s="135">
        <v>430</v>
      </c>
      <c r="W75" s="135">
        <v>445</v>
      </c>
      <c r="X75" s="135">
        <v>460</v>
      </c>
      <c r="Y75" s="132">
        <f t="shared" si="62"/>
        <v>485</v>
      </c>
      <c r="Z75" s="132">
        <f t="shared" si="61"/>
        <v>510</v>
      </c>
      <c r="AA75" s="133"/>
      <c r="AB75" s="134"/>
      <c r="AC75" s="260"/>
      <c r="AD75" s="6"/>
    </row>
    <row r="76" spans="19:30" ht="17.399999999999999" x14ac:dyDescent="0.3">
      <c r="S76" s="129" t="s">
        <v>23</v>
      </c>
      <c r="T76" s="129">
        <v>1500</v>
      </c>
      <c r="U76" s="132">
        <f t="shared" si="60"/>
        <v>485</v>
      </c>
      <c r="V76" s="132">
        <v>500</v>
      </c>
      <c r="W76" s="132">
        <f t="shared" si="62"/>
        <v>525</v>
      </c>
      <c r="X76" s="132">
        <f t="shared" si="62"/>
        <v>550</v>
      </c>
      <c r="Y76" s="132">
        <f t="shared" si="62"/>
        <v>575</v>
      </c>
      <c r="Z76" s="132">
        <f t="shared" si="61"/>
        <v>600</v>
      </c>
      <c r="AA76" s="132"/>
      <c r="AB76" s="134"/>
      <c r="AC76" s="260"/>
    </row>
    <row r="77" spans="19:30" ht="17.399999999999999" x14ac:dyDescent="0.3">
      <c r="S77" s="129" t="s">
        <v>23</v>
      </c>
      <c r="T77" s="129">
        <v>1600</v>
      </c>
      <c r="U77" s="132">
        <f t="shared" si="60"/>
        <v>583</v>
      </c>
      <c r="V77" s="135">
        <v>598</v>
      </c>
      <c r="W77" s="135">
        <v>615</v>
      </c>
      <c r="X77" s="135">
        <v>629</v>
      </c>
      <c r="Y77" s="132">
        <f t="shared" ref="Y77" si="63">+X77+25</f>
        <v>654</v>
      </c>
      <c r="Z77" s="132">
        <f t="shared" si="61"/>
        <v>679</v>
      </c>
      <c r="AA77" s="133"/>
      <c r="AB77" s="134"/>
      <c r="AC77" s="260"/>
    </row>
    <row r="78" spans="19:30" ht="17.399999999999999" x14ac:dyDescent="0.3">
      <c r="S78" s="129" t="s">
        <v>23</v>
      </c>
      <c r="T78" s="129">
        <v>1800</v>
      </c>
      <c r="U78" s="132">
        <f t="shared" si="60"/>
        <v>633</v>
      </c>
      <c r="V78" s="132">
        <f>+V77+50</f>
        <v>648</v>
      </c>
      <c r="W78" s="132">
        <f t="shared" ref="W78:X78" si="64">+W77+50</f>
        <v>665</v>
      </c>
      <c r="X78" s="132">
        <f t="shared" si="64"/>
        <v>679</v>
      </c>
      <c r="Y78" s="132">
        <f t="shared" ref="Y78" si="65">+Y77+50</f>
        <v>704</v>
      </c>
      <c r="Z78" s="132">
        <f t="shared" ref="Z78" si="66">+Z77+50</f>
        <v>729</v>
      </c>
      <c r="AA78" s="133"/>
      <c r="AB78" s="134"/>
      <c r="AC78" s="260"/>
    </row>
    <row r="79" spans="19:30" ht="12.75" customHeight="1" x14ac:dyDescent="0.3">
      <c r="S79" s="129" t="s">
        <v>23</v>
      </c>
      <c r="T79" s="129">
        <v>2000</v>
      </c>
      <c r="U79" s="132">
        <f t="shared" si="60"/>
        <v>683</v>
      </c>
      <c r="V79" s="132">
        <f t="shared" ref="V79:V82" si="67">+V78+50</f>
        <v>698</v>
      </c>
      <c r="W79" s="132">
        <f t="shared" ref="W79:W82" si="68">+W78+50</f>
        <v>715</v>
      </c>
      <c r="X79" s="132">
        <f t="shared" ref="X79:X82" si="69">+X78+50</f>
        <v>729</v>
      </c>
      <c r="Y79" s="132">
        <f t="shared" ref="Y79:Y82" si="70">+Y78+50</f>
        <v>754</v>
      </c>
      <c r="Z79" s="132">
        <f t="shared" ref="Z79:Z80" si="71">+Z78+50</f>
        <v>779</v>
      </c>
      <c r="AA79" s="133"/>
      <c r="AB79" s="134"/>
      <c r="AC79" s="260"/>
    </row>
    <row r="80" spans="19:30" ht="17.399999999999999" x14ac:dyDescent="0.3">
      <c r="S80" s="129" t="s">
        <v>23</v>
      </c>
      <c r="T80" s="129">
        <v>2150</v>
      </c>
      <c r="U80" s="132">
        <f t="shared" si="60"/>
        <v>733</v>
      </c>
      <c r="V80" s="132">
        <f t="shared" si="67"/>
        <v>748</v>
      </c>
      <c r="W80" s="132">
        <f t="shared" si="68"/>
        <v>765</v>
      </c>
      <c r="X80" s="132">
        <f t="shared" si="69"/>
        <v>779</v>
      </c>
      <c r="Y80" s="132">
        <f t="shared" si="70"/>
        <v>804</v>
      </c>
      <c r="Z80" s="132">
        <f t="shared" si="71"/>
        <v>829</v>
      </c>
      <c r="AA80" s="132">
        <f>+Z80+50</f>
        <v>879</v>
      </c>
      <c r="AB80" s="134"/>
      <c r="AC80" s="260"/>
    </row>
    <row r="81" spans="19:29" ht="17.399999999999999" x14ac:dyDescent="0.3">
      <c r="S81" s="129" t="s">
        <v>23</v>
      </c>
      <c r="T81" s="129">
        <v>2500</v>
      </c>
      <c r="U81" s="132">
        <f t="shared" si="60"/>
        <v>783</v>
      </c>
      <c r="V81" s="132">
        <f t="shared" si="67"/>
        <v>798</v>
      </c>
      <c r="W81" s="132">
        <f t="shared" si="68"/>
        <v>815</v>
      </c>
      <c r="X81" s="132">
        <f t="shared" si="69"/>
        <v>829</v>
      </c>
      <c r="Y81" s="132">
        <f t="shared" si="70"/>
        <v>854</v>
      </c>
      <c r="Z81" s="132">
        <f t="shared" ref="Z81:Z82" si="72">+Z80+50</f>
        <v>879</v>
      </c>
      <c r="AA81" s="132">
        <f t="shared" ref="AA81:AA82" si="73">+Z81+50</f>
        <v>929</v>
      </c>
      <c r="AB81" s="133"/>
      <c r="AC81" s="260"/>
    </row>
    <row r="82" spans="19:29" ht="17.399999999999999" x14ac:dyDescent="0.3">
      <c r="S82" s="129" t="s">
        <v>23</v>
      </c>
      <c r="T82" s="129">
        <v>2800</v>
      </c>
      <c r="U82" s="132">
        <f t="shared" si="60"/>
        <v>833</v>
      </c>
      <c r="V82" s="132">
        <f t="shared" si="67"/>
        <v>848</v>
      </c>
      <c r="W82" s="132">
        <f t="shared" si="68"/>
        <v>865</v>
      </c>
      <c r="X82" s="132">
        <f t="shared" si="69"/>
        <v>879</v>
      </c>
      <c r="Y82" s="132">
        <f t="shared" si="70"/>
        <v>904</v>
      </c>
      <c r="Z82" s="132">
        <f t="shared" si="72"/>
        <v>929</v>
      </c>
      <c r="AA82" s="132">
        <f t="shared" si="73"/>
        <v>979</v>
      </c>
      <c r="AB82" s="133"/>
      <c r="AC82" s="261"/>
    </row>
  </sheetData>
  <dataConsolidate/>
  <mergeCells count="16">
    <mergeCell ref="AC50:AC68"/>
    <mergeCell ref="AC69:AC82"/>
    <mergeCell ref="U48:AB48"/>
    <mergeCell ref="U47:AB47"/>
    <mergeCell ref="T47:T49"/>
    <mergeCell ref="Q7:R7"/>
    <mergeCell ref="S47:S49"/>
    <mergeCell ref="A6:A8"/>
    <mergeCell ref="C7:D7"/>
    <mergeCell ref="E7:F7"/>
    <mergeCell ref="G7:H7"/>
    <mergeCell ref="I7:J7"/>
    <mergeCell ref="B6:R6"/>
    <mergeCell ref="K7:L7"/>
    <mergeCell ref="M7:N7"/>
    <mergeCell ref="O7:P7"/>
  </mergeCells>
  <phoneticPr fontId="0" type="noConversion"/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4</vt:i4>
      </vt:variant>
    </vt:vector>
  </HeadingPairs>
  <TitlesOfParts>
    <vt:vector size="7" baseType="lpstr">
      <vt:lpstr>Dim_Hidráulico_Alt_1</vt:lpstr>
      <vt:lpstr>Dim_Hidráulico_Alt 2</vt:lpstr>
      <vt:lpstr>Tabela_Tubagem</vt:lpstr>
      <vt:lpstr>'Dim_Hidráulico_Alt 2'!Área_de_Impressão</vt:lpstr>
      <vt:lpstr>Dim_Hidráulico_Alt_1!Área_de_Impressão</vt:lpstr>
      <vt:lpstr>Tabela_Tubagem!Área_de_Impressão</vt:lpstr>
      <vt:lpstr>DN</vt:lpstr>
    </vt:vector>
  </TitlesOfParts>
  <Company>COBA,S.A.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M_VALADAS</dc:creator>
  <cp:lastModifiedBy>Antonio Capelo</cp:lastModifiedBy>
  <cp:lastPrinted>2018-09-14T16:32:00Z</cp:lastPrinted>
  <dcterms:created xsi:type="dcterms:W3CDTF">2006-02-10T10:33:56Z</dcterms:created>
  <dcterms:modified xsi:type="dcterms:W3CDTF">2024-11-26T11:50:14Z</dcterms:modified>
</cp:coreProperties>
</file>